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blage\Energiedatenmanagement-GAS\Veröffentlichungen\"/>
    </mc:Choice>
  </mc:AlternateContent>
  <xr:revisionPtr revIDLastSave="0" documentId="13_ncr:1_{C4678214-FABD-410B-B4B7-C148FE21D21B}" xr6:coauthVersionLast="36" xr6:coauthVersionMax="44" xr10:uidLastSave="{00000000-0000-0000-0000-000000000000}"/>
  <bookViews>
    <workbookView xWindow="0" yWindow="0" windowWidth="28800" windowHeight="12225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 iterate="1" calcOnSave="0"/>
</workbook>
</file>

<file path=xl/calcChain.xml><?xml version="1.0" encoding="utf-8"?>
<calcChain xmlns="http://schemas.openxmlformats.org/spreadsheetml/2006/main">
  <c r="W13" i="7" l="1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F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12" i="7"/>
  <c r="Q12" i="7" l="1"/>
  <c r="X12" i="7"/>
  <c r="X13" i="7"/>
  <c r="Q13" i="7"/>
  <c r="E27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X21" i="7" l="1"/>
  <c r="X25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<sst xmlns="http://schemas.openxmlformats.org/spreadsheetml/2006/main" count="1400" uniqueCount="676">
  <si>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</si>
  <si>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</si>
  <si>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</si>
  <si>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</si>
  <si>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</si>
  <si>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</si>
  <si>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</si>
  <si>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</si>
  <si>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</si>
  <si>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</si>
  <si>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</si>
  <si>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</si>
  <si>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</si>
  <si>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</si>
  <si>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</si>
  <si>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</si>
  <si>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</si>
  <si>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</si>
  <si>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</si>
  <si>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</si>
  <si>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</si>
  <si>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</si>
  <si>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</si>
  <si>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</si>
  <si>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</si>
  <si>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</si>
  <si>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</si>
  <si>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</si>
  <si>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</si>
  <si>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</si>
  <si>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</si>
  <si>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</si>
  <si>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</si>
  <si>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</si>
  <si>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</si>
  <si>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</si>
  <si>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</si>
  <si>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</si>
  <si>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</si>
  <si>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</si>
  <si>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</si>
  <si>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</si>
  <si>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</si>
  <si>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</si>
  <si>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</si>
  <si>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</si>
  <si>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</si>
  <si>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</si>
  <si>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</si>
  <si>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</si>
  <si>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</si>
  <si>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</si>
  <si>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</si>
  <si>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</si>
  <si>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</si>
  <si>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</si>
  <si>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</si>
  <si>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</si>
  <si>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</si>
  <si>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</si>
  <si>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</si>
  <si>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</si>
  <si>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</si>
  <si>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</si>
  <si>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</si>
  <si>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</si>
  <si>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</si>
  <si>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</si>
  <si>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</si>
  <si>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</si>
  <si>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</si>
  <si>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</si>
  <si>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</si>
  <si>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</si>
  <si>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</si>
  <si>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</si>
  <si>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</si>
  <si>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</si>
  <si>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</si>
  <si>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</si>
  <si>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</si>
  <si>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</si>
  <si>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</si>
  <si>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</si>
  <si>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</si>
  <si>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</si>
  <si>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</si>
  <si>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</si>
  <si>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</si>
  <si>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</si>
  <si>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</si>
  <si>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</si>
  <si>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</si>
  <si>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</si>
  <si>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</si>
  <si>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</si>
  <si>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</si>
  <si>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</si>
  <si>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</si>
  <si>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</si>
  <si>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</si>
  <si>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</si>
  <si>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</si>
  <si>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</si>
  <si>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</si>
  <si>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</si>
  <si>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</si>
  <si>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</si>
  <si>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</si>
  <si>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</si>
  <si>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</si>
  <si>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</si>
  <si>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</si>
  <si>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</si>
  <si>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</si>
  <si>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</si>
  <si>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</si>
  <si>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</si>
  <si>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</si>
  <si>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</si>
  <si>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</si>
  <si>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</si>
  <si>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</si>
  <si>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</si>
  <si>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</si>
  <si>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</si>
  <si>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</si>
  <si>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</si>
  <si>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</si>
  <si>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</si>
  <si>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</si>
  <si>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</si>
  <si>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</si>
  <si>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</si>
  <si>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</si>
  <si>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</si>
  <si>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</si>
  <si>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</si>
  <si>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</si>
  <si>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</si>
  <si>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</si>
  <si>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</si>
  <si>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</si>
  <si>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</si>
  <si>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</si>
  <si>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</si>
  <si>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</si>
  <si>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</si>
  <si>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</si>
  <si>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</si>
  <si>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</si>
  <si>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</si>
  <si>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</si>
  <si>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</si>
  <si>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</si>
  <si>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</si>
  <si>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</si>
  <si>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</si>
  <si>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</si>
  <si>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</si>
  <si>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</si>
  <si>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</si>
  <si>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</si>
  <si>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</si>
  <si>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</si>
  <si>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</si>
  <si>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</si>
  <si>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</si>
  <si>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</si>
  <si>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</si>
  <si>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</si>
  <si>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</si>
  <si>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</si>
  <si>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</si>
  <si>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</si>
  <si>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</si>
  <si>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</si>
  <si>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</si>
  <si>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</si>
  <si>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</si>
  <si>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</si>
  <si>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</si>
  <si>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</si>
  <si>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</si>
  <si>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</si>
  <si>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</si>
  <si>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</si>
  <si>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</si>
  <si>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</si>
  <si>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</si>
  <si>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</si>
  <si>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</si>
  <si>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</si>
  <si>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</si>
  <si>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</si>
  <si>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</si>
  <si>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</si>
  <si>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</si>
  <si>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</si>
  <si>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</si>
  <si>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</si>
  <si>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</si>
  <si>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</si>
  <si>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</si>
  <si>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</si>
  <si>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</si>
  <si>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</si>
  <si>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</si>
  <si>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</si>
  <si>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</si>
  <si>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</si>
  <si>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</si>
  <si>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</si>
  <si>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</si>
  <si>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</si>
  <si>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</si>
  <si>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</si>
  <si>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</si>
  <si>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</si>
  <si>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</si>
  <si>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</si>
  <si>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</si>
  <si>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</si>
  <si>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</si>
  <si>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</si>
  <si>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</si>
  <si>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</si>
  <si>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</si>
  <si>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</si>
  <si>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</si>
  <si>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</si>
  <si>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</si>
  <si>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</si>
  <si>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</si>
  <si>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</si>
  <si>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</si>
  <si>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</si>
  <si>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</si>
  <si>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</si>
  <si>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</si>
  <si>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</si>
  <si>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</si>
  <si>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</si>
  <si>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</si>
  <si>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</si>
  <si>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</si>
  <si>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</si>
  <si>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</si>
  <si>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</si>
  <si>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</si>
  <si>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</si>
  <si>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</si>
  <si>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</si>
  <si>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</si>
  <si>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</si>
  <si>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</si>
  <si>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</si>
  <si>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</si>
  <si>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</si>
  <si>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</si>
  <si>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</si>
  <si>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</si>
  <si>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</si>
  <si>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</si>
  <si>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</si>
  <si>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</si>
  <si>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</si>
  <si>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</si>
  <si>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</si>
  <si>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</si>
  <si>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</si>
  <si>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</si>
  <si>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</si>
  <si>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</si>
  <si>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</si>
  <si>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</si>
  <si>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</si>
  <si>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</si>
  <si>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</si>
  <si>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</si>
  <si>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</si>
  <si>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</si>
  <si>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</si>
  <si>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</si>
  <si>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</si>
  <si>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</si>
  <si>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</si>
  <si>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</si>
  <si>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</si>
  <si>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</si>
  <si>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</si>
  <si>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</si>
  <si>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</si>
  <si>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</si>
  <si>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</si>
  <si>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</si>
  <si>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</si>
  <si>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</si>
  <si>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</si>
  <si>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</si>
  <si>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</si>
  <si>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</si>
  <si>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</si>
  <si>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</si>
  <si>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</si>
  <si>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</si>
  <si>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</si>
  <si>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</si>
  <si>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</si>
  <si>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</si>
  <si>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</si>
  <si>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</si>
  <si>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</si>
  <si>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</si>
  <si>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</si>
  <si>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</si>
  <si>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</si>
  <si>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</si>
  <si>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</si>
  <si>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</si>
  <si>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</si>
  <si>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</si>
  <si>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</si>
  <si>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</si>
  <si>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</si>
  <si>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</si>
  <si>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</si>
  <si>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</si>
  <si>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</si>
  <si>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</si>
  <si>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</si>
  <si>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</si>
  <si>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</si>
  <si>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</si>
  <si>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</si>
  <si>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</si>
  <si>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</si>
  <si>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</si>
  <si>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</si>
  <si>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</si>
  <si>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</si>
  <si>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</si>
  <si>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</si>
  <si>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</si>
  <si>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</si>
  <si>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</si>
  <si>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</si>
  <si>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</si>
  <si>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</si>
  <si>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</si>
  <si>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</si>
  <si>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</si>
  <si>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</si>
  <si>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</si>
  <si>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</si>
  <si>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</si>
  <si>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</si>
  <si>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</si>
  <si>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</si>
  <si>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</si>
  <si>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</si>
  <si>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</si>
  <si>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</si>
  <si>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</si>
  <si>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</si>
  <si>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</si>
  <si>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</si>
  <si>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</si>
  <si>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</si>
  <si>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</si>
  <si>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</si>
  <si>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</si>
  <si>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</si>
  <si>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</si>
  <si>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</si>
  <si>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</si>
  <si>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</si>
  <si>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</si>
  <si>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</si>
  <si>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</si>
  <si>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</si>
  <si>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</si>
  <si>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</si>
  <si>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</si>
  <si>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</si>
  <si>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</si>
  <si>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</si>
  <si>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</si>
  <si>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</si>
  <si>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</si>
  <si>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</si>
  <si>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</si>
  <si>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</si>
  <si>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</si>
  <si>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</si>
  <si>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</si>
  <si>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</si>
  <si>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</si>
  <si>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</si>
  <si>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</si>
  <si>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</si>
  <si>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</si>
  <si>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</si>
  <si>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</si>
  <si>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</si>
  <si>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</si>
  <si>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</si>
  <si>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</si>
  <si>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</si>
  <si>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</si>
  <si>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</si>
  <si>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</si>
  <si>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</si>
  <si>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</si>
  <si>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</si>
  <si>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</si>
  <si>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</si>
  <si>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</si>
  <si>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</si>
  <si>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</si>
  <si>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</si>
  <si>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</si>
  <si>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</si>
  <si>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</si>
  <si>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</si>
  <si>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</si>
  <si>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</si>
  <si>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</si>
  <si>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</si>
  <si>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</si>
  <si>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</si>
  <si>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</si>
  <si>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</si>
  <si>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</si>
  <si>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</si>
  <si>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</si>
  <si>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</si>
  <si>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</si>
  <si>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</si>
  <si>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</si>
  <si>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</si>
  <si>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</si>
  <si>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</si>
  <si>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</si>
  <si>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</si>
  <si>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</si>
  <si>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</si>
  <si>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</si>
  <si>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</si>
  <si>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</si>
  <si>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</si>
  <si>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</si>
  <si>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</si>
  <si>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</si>
  <si>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</si>
  <si>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</si>
  <si>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</si>
  <si>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</si>
  <si>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</si>
  <si>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</si>
  <si>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</si>
  <si>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</si>
  <si>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</si>
  <si>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</si>
  <si>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</si>
  <si>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</si>
  <si>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</si>
  <si>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</si>
  <si>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</si>
  <si>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</si>
  <si>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</si>
  <si>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</si>
  <si>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</si>
  <si>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</si>
  <si>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</si>
  <si>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</si>
  <si>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</si>
  <si>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</si>
  <si>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</si>
  <si>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</si>
  <si>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</si>
  <si>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</si>
  <si>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</si>
  <si>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</si>
  <si>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</si>
  <si>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</si>
  <si>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</si>
  <si>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</si>
  <si>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</si>
  <si>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</si>
  <si>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</si>
  <si>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</si>
  <si>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</si>
  <si>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</si>
  <si>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</si>
  <si>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</si>
  <si>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</si>
  <si>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</si>
  <si>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</si>
  <si>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</si>
  <si>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</si>
  <si>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</si>
  <si>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</si>
  <si>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</si>
  <si>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</si>
  <si>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</si>
  <si>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</si>
  <si>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</si>
  <si>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</si>
  <si>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</si>
  <si>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</si>
  <si>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</si>
  <si>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</si>
  <si>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</si>
  <si>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</si>
  <si>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</si>
  <si>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</si>
  <si>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</si>
  <si>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</si>
  <si>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</si>
  <si>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</si>
  <si>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</si>
  <si>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</si>
  <si>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</si>
  <si>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</si>
  <si>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</si>
  <si>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</si>
  <si>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</si>
  <si>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</si>
  <si>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</si>
  <si>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</si>
  <si>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</si>
  <si>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</si>
  <si>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</si>
  <si>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</si>
  <si>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</si>
  <si>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</si>
  <si>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</si>
  <si>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</si>
  <si>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</si>
  <si>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</si>
  <si>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</si>
  <si>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</si>
  <si>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</si>
  <si>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</si>
  <si>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</si>
  <si>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</si>
  <si>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</si>
  <si>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</si>
  <si>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</si>
  <si>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</si>
  <si>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</si>
  <si>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</si>
  <si>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</si>
  <si>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</si>
  <si>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</si>
  <si>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</si>
  <si>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</si>
  <si>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</si>
  <si>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</si>
  <si>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</si>
  <si>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</si>
  <si>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</si>
  <si>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</si>
  <si>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</si>
  <si>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</si>
  <si>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</si>
  <si>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</si>
  <si>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</si>
  <si>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</si>
  <si>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</si>
  <si>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</si>
  <si>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</si>
  <si>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</si>
  <si>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</si>
  <si>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</si>
  <si>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</si>
  <si>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</si>
  <si>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</si>
  <si>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</si>
  <si>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</si>
  <si>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</si>
  <si>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</si>
  <si>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</si>
  <si>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</si>
  <si>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</si>
  <si>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</si>
  <si>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</si>
  <si>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</si>
  <si>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</si>
  <si>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</si>
  <si>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</si>
  <si>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</si>
  <si>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</si>
  <si>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</si>
  <si>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</si>
  <si>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</si>
  <si>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</si>
  <si>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</si>
  <si>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</si>
  <si>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</si>
  <si>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</si>
  <si>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</si>
  <si>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</si>
  <si>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</si>
  <si>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</si>
  <si>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</si>
  <si>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</si>
  <si>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</si>
  <si>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</si>
  <si>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</si>
  <si>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</si>
  <si>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</si>
  <si>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</si>
  <si>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</si>
  <si>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</si>
  <si>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</si>
  <si>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</si>
  <si>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</si>
  <si>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</si>
  <si>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</si>
  <si>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</si>
  <si>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</si>
  <si>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</si>
  <si>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</si>
  <si>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</si>
  <si>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</si>
  <si>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</si>
  <si>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</si>
  <si>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</si>
  <si>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</si>
  <si>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</si>
  <si>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</si>
  <si>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</si>
  <si>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</si>
  <si>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</si>
  <si>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</si>
  <si>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</si>
  <si>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</si>
  <si>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</si>
  <si>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</si>
  <si>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</si>
  <si>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</si>
  <si>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</si>
  <si>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</si>
  <si>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</si>
  <si>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</si>
  <si>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</si>
  <si>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</si>
  <si>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</si>
  <si>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</si>
  <si>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</si>
  <si>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</si>
  <si>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</si>
  <si>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</si>
  <si>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</si>
  <si>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Völklingen Netz GmbH</t>
  </si>
  <si>
    <t>9870101100004</t>
  </si>
  <si>
    <t>Hohenzollernstraße 10</t>
  </si>
  <si>
    <t>Völklingen</t>
  </si>
  <si>
    <t>Martin Schulze</t>
  </si>
  <si>
    <t>m.schulze@swvk.de</t>
  </si>
  <si>
    <t>06898/150-214</t>
  </si>
  <si>
    <t>THE0NKH701011000</t>
  </si>
  <si>
    <t>DE_GBA03</t>
  </si>
  <si>
    <t>DE_GBD03</t>
  </si>
  <si>
    <t>DE_GGA03</t>
  </si>
  <si>
    <t>DE_GGB03</t>
  </si>
  <si>
    <t>DE_GHA03</t>
  </si>
  <si>
    <t>DE_GKO03</t>
  </si>
  <si>
    <t>DE_GMF03</t>
  </si>
  <si>
    <t>DE_GMK03</t>
  </si>
  <si>
    <t>DE_GWA03</t>
  </si>
  <si>
    <t>DE_GBH03</t>
  </si>
  <si>
    <t>DE_GHD03</t>
  </si>
  <si>
    <t>DE_GPD03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</si>
</sst>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4" fontId="79" fillId="34" borderId="24" xfId="3" applyNumberFormat="1" applyFont="1" applyFill="1" applyBorder="1" applyAlignment="1" applyProtection="1">
      <alignment horizontal="center" vertical="center"/>
    </xf>
    <xf numFmtId="164" fontId="79" fillId="34" borderId="70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7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0" fillId="33" borderId="17" xfId="0" quotePrefix="1" applyFont="1" applyFill="1" applyBorder="1" applyAlignment="1" applyProtection="1">
      <alignment horizontal="center"/>
      <protection locked="0"/>
    </xf>
    <xf numFmtId="0" fontId="12" fillId="0" borderId="0" xfId="3" quotePrefix="1" applyFont="1" applyFill="1" applyAlignment="1" applyProtection="1">
      <alignment horizontal="left"/>
      <protection hidden="1"/>
    </xf>
  </cellXfs>
  <cellStyles count="152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70">
    <dxf>
      <fill>
        <patternFill>
          <bgColor theme="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.schulze@swvk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44409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44470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66" t="s">
        <v>657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66333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660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41" t="s">
        <v>661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662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Völklingen</v>
      </c>
      <c r="E28" s="38"/>
      <c r="F28" s="11"/>
      <c r="G28" s="2"/>
    </row>
    <row r="29" spans="1:15">
      <c r="B29" s="15"/>
      <c r="C29" s="22" t="s">
        <v>393</v>
      </c>
      <c r="D29" s="44" t="s">
        <v>659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9" priority="2">
      <formula>IF(CELL("Zeile",D29)&lt;$D$25+CELL("Zeile",$D$29),1,0)</formula>
    </cfRule>
  </conditionalFormatting>
  <conditionalFormatting sqref="D30:D48">
    <cfRule type="expression" dxfId="6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C7B070F5-D664-4628-95C5-AEB9B7C0D967}"/>
  </hyperlinks>
  <pageMargins left="0.7" right="0.7" top="0.78740157499999996" bottom="0.78740157499999996" header="0.3" footer="0.3"/>
  <pageSetup paperSize="9" scale="80" orientation="portrait" r:id="rId2"/>
  <ignoredErrors>
    <ignoredError sqref="D1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abSelected="1" zoomScale="80" zoomScaleNormal="80" workbookViewId="0">
      <selection activeCell="D10" sqref="D1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Stadtwerke Völklingen Netz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Völklingen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60" t="str">
        <f>Netzbetreiber!$D$11</f>
        <v>9870101100004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615</v>
      </c>
      <c r="E11" s="15"/>
      <c r="H11" s="276" t="s">
        <v>615</v>
      </c>
      <c r="I11" s="276" t="s">
        <v>616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652</v>
      </c>
      <c r="D13" s="42" t="s">
        <v>663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4" t="s">
        <v>257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574</v>
      </c>
      <c r="I16" s="275" t="s">
        <v>486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487</v>
      </c>
      <c r="I17" s="275" t="s">
        <v>488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612</v>
      </c>
      <c r="D19" s="48" t="s">
        <v>608</v>
      </c>
      <c r="E19" s="15"/>
      <c r="H19" s="272" t="s">
        <v>608</v>
      </c>
      <c r="I19" s="272" t="s">
        <v>609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617</v>
      </c>
      <c r="E20" s="15"/>
      <c r="H20" s="272" t="s">
        <v>611</v>
      </c>
      <c r="I20" s="8" t="s">
        <v>607</v>
      </c>
      <c r="J20" s="8"/>
      <c r="K20" s="8"/>
      <c r="L20" s="273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2" t="s">
        <v>610</v>
      </c>
      <c r="I21" s="272" t="s">
        <v>617</v>
      </c>
      <c r="J21" s="8"/>
      <c r="K21" s="8"/>
      <c r="L21" s="275" t="s">
        <v>618</v>
      </c>
      <c r="M21" s="275" t="s">
        <v>620</v>
      </c>
      <c r="N21" s="275" t="s">
        <v>619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621</v>
      </c>
      <c r="D24" s="42" t="s">
        <v>622</v>
      </c>
      <c r="E24" s="15"/>
      <c r="H24" s="308" t="s">
        <v>622</v>
      </c>
      <c r="I24" s="274" t="s">
        <v>623</v>
      </c>
      <c r="J24" s="274" t="s">
        <v>624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625</v>
      </c>
      <c r="I25" s="275" t="s">
        <v>626</v>
      </c>
      <c r="J25" s="275" t="s">
        <v>627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628</v>
      </c>
      <c r="I26" s="275" t="s">
        <v>629</v>
      </c>
      <c r="J26" s="275" t="s">
        <v>630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631</v>
      </c>
      <c r="I29" s="275" t="s">
        <v>632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633</v>
      </c>
      <c r="I30" s="272" t="s">
        <v>628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491</v>
      </c>
      <c r="C32" s="24" t="s">
        <v>493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2"/>
      <c r="J34" s="272"/>
      <c r="K34" s="272"/>
      <c r="L34" s="272"/>
      <c r="M34" s="273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4" t="s">
        <v>659</v>
      </c>
    </row>
    <row r="46" spans="2:39" ht="18" customHeight="1">
      <c r="C46" s="22" t="s">
        <v>586</v>
      </c>
      <c r="D46" s="44"/>
    </row>
    <row r="47" spans="2:39" ht="18" customHeight="1">
      <c r="C47" s="22" t="s">
        <v>587</v>
      </c>
      <c r="D47" s="44"/>
    </row>
    <row r="48" spans="2:39" ht="18" customHeight="1">
      <c r="C48" s="22" t="s">
        <v>588</v>
      </c>
      <c r="D48" s="44"/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</sheetData>
  <sheetProtection sheet="1" objects="1" scenarios="1"/>
  <conditionalFormatting sqref="D13">
    <cfRule type="expression" dxfId="67" priority="20">
      <formula>IF(#REF!="Gaspool",1,0)</formula>
    </cfRule>
  </conditionalFormatting>
  <conditionalFormatting sqref="D45:D59">
    <cfRule type="expression" dxfId="66" priority="16">
      <formula>IF(CELL("Zeile",D45)&lt;$D$43+CELL("Zeile",$D$45),1,0)</formula>
    </cfRule>
  </conditionalFormatting>
  <conditionalFormatting sqref="D46:D59">
    <cfRule type="expression" dxfId="65" priority="15">
      <formula>IF(CELL(D46)&lt;$D$33+27,1,0)</formula>
    </cfRule>
  </conditionalFormatting>
  <conditionalFormatting sqref="D20">
    <cfRule type="expression" dxfId="64" priority="14">
      <formula>IF($D$19=$H$19,1,0)</formula>
    </cfRule>
  </conditionalFormatting>
  <conditionalFormatting sqref="D28">
    <cfRule type="expression" dxfId="63" priority="3">
      <formula>IF($D$15="synthetisch",1,0)</formula>
    </cfRule>
  </conditionalFormatting>
  <conditionalFormatting sqref="D25">
    <cfRule type="expression" dxfId="62" priority="1">
      <formula>IF(AND($D$24=$I$24,$D$23=$H$23),1,0)</formula>
    </cfRule>
  </conditionalFormatting>
  <conditionalFormatting sqref="D23:D25">
    <cfRule type="expression" dxfId="61" priority="4">
      <formula>IF($D$15="analytisch",1,0)</formula>
    </cfRule>
  </conditionalFormatting>
  <conditionalFormatting sqref="D24">
    <cfRule type="expression" dxfId="60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0" zoomScaleNormal="100" workbookViewId="0">
      <selection activeCell="E11" sqref="E11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656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Völklingen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367" t="s">
        <v>657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44470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1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 t="str">
        <f>INDEX('SLP-Verfahren'!D45:D59,'SLP-Temp-Gebiet #01'!F10)</f>
        <v>Völklingen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583</v>
      </c>
      <c r="D13" s="351"/>
      <c r="E13" s="351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139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516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522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524</v>
      </c>
      <c r="D21" s="153" t="s">
        <v>515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536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519</v>
      </c>
      <c r="D24" s="188"/>
      <c r="E24" s="156" t="s">
        <v>659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514</v>
      </c>
      <c r="D25" s="188"/>
      <c r="E25" s="160">
        <v>66333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655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5" t="s">
        <v>142</v>
      </c>
      <c r="Q26" s="211"/>
      <c r="R26" s="209" t="s">
        <v>503</v>
      </c>
      <c r="S26" s="209" t="s">
        <v>654</v>
      </c>
      <c r="T26" s="209" t="s">
        <v>655</v>
      </c>
      <c r="U26" s="209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653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>987010110000466333A</v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503</v>
      </c>
      <c r="S27" s="209" t="s">
        <v>504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518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256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525</v>
      </c>
      <c r="D32" s="186" t="s">
        <v>255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532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3"/>
      <c r="C35" s="187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5" t="s">
        <v>142</v>
      </c>
      <c r="Q36" s="211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267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347</v>
      </c>
      <c r="D40" s="198"/>
      <c r="E40" s="198" t="s">
        <v>530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531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523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528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529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534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535</v>
      </c>
      <c r="D47" s="201" t="s">
        <v>533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>
      <c r="B48" s="193"/>
      <c r="C48" s="200" t="s">
        <v>346</v>
      </c>
      <c r="D48" s="201" t="s">
        <v>533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360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578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542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517</v>
      </c>
      <c r="D55" s="180" t="s">
        <v>513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524</v>
      </c>
      <c r="D56" s="153" t="s">
        <v>515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536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519</v>
      </c>
      <c r="D59" s="188"/>
      <c r="E59" s="156" t="str">
        <f>E24</f>
        <v>Völklingen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520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514</v>
      </c>
      <c r="D60" s="188"/>
      <c r="E60" s="160">
        <f>E25</f>
        <v>66333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Allgemeine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518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256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525</v>
      </c>
      <c r="D66" s="186" t="s">
        <v>255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532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604</v>
      </c>
      <c r="D70" s="153" t="s">
        <v>605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3" t="s">
        <v>579</v>
      </c>
      <c r="D73" s="353"/>
      <c r="E73" s="353"/>
      <c r="F73" s="353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9" priority="28">
      <formula>IF(E$20&lt;=$F$18,1,0)</formula>
    </cfRule>
  </conditionalFormatting>
  <conditionalFormatting sqref="E33:N37">
    <cfRule type="expression" dxfId="58" priority="27">
      <formula>IF(E$31&lt;=$F$29,1,0)</formula>
    </cfRule>
  </conditionalFormatting>
  <conditionalFormatting sqref="E26:N26">
    <cfRule type="expression" dxfId="57" priority="26">
      <formula>IF(E$20&lt;=$F$18,1,0)</formula>
    </cfRule>
  </conditionalFormatting>
  <conditionalFormatting sqref="E26:N26">
    <cfRule type="expression" dxfId="56" priority="25">
      <formula>IF(E$20&lt;=$F$18,1,0)</formula>
    </cfRule>
  </conditionalFormatting>
  <conditionalFormatting sqref="E57:N60">
    <cfRule type="expression" dxfId="55" priority="22">
      <formula>IF(E$55&lt;=$F$53,1,0)</formula>
    </cfRule>
  </conditionalFormatting>
  <conditionalFormatting sqref="E61:N61">
    <cfRule type="expression" dxfId="54" priority="21">
      <formula>IF(E$55&lt;=$F$53,1,0)</formula>
    </cfRule>
  </conditionalFormatting>
  <conditionalFormatting sqref="E67:N69">
    <cfRule type="expression" dxfId="53" priority="15">
      <formula>IF(E$65&lt;=$F$63,1,0)</formula>
    </cfRule>
  </conditionalFormatting>
  <conditionalFormatting sqref="E66:N69 E71:N71">
    <cfRule type="expression" dxfId="52" priority="13">
      <formula>IF(E$65&gt;$F$63,1,0)</formula>
    </cfRule>
  </conditionalFormatting>
  <conditionalFormatting sqref="E57:N61">
    <cfRule type="expression" dxfId="51" priority="12">
      <formula>IF(E$55&gt;$F$53,1,0)</formula>
    </cfRule>
  </conditionalFormatting>
  <conditionalFormatting sqref="E21:N26">
    <cfRule type="expression" dxfId="50" priority="11">
      <formula>IF(E$20&gt;$F$18,1,0)</formula>
    </cfRule>
  </conditionalFormatting>
  <conditionalFormatting sqref="E33:N37">
    <cfRule type="expression" dxfId="49" priority="10">
      <formula>IF(E$31&gt;$F$29,1,0)</formula>
    </cfRule>
  </conditionalFormatting>
  <conditionalFormatting sqref="H11 H8:H9">
    <cfRule type="expression" dxfId="48" priority="9">
      <formula>IF($F$9=1,1,0)</formula>
    </cfRule>
  </conditionalFormatting>
  <conditionalFormatting sqref="E56:N56">
    <cfRule type="expression" dxfId="47" priority="8">
      <formula>IF(E$55&gt;$F$53,1,0)</formula>
    </cfRule>
  </conditionalFormatting>
  <conditionalFormatting sqref="E32:N32">
    <cfRule type="expression" dxfId="46" priority="7">
      <formula>IF(E$31&gt;$F$29,1,0)</formula>
    </cfRule>
  </conditionalFormatting>
  <conditionalFormatting sqref="E71:N71">
    <cfRule type="expression" dxfId="45" priority="6">
      <formula>IF(E$65&lt;=$F$63,1,0)</formula>
    </cfRule>
  </conditionalFormatting>
  <conditionalFormatting sqref="H10">
    <cfRule type="expression" dxfId="44" priority="5">
      <formula>IF($F$9=1,1,0)</formula>
    </cfRule>
  </conditionalFormatting>
  <conditionalFormatting sqref="E70:N70">
    <cfRule type="expression" dxfId="43" priority="2">
      <formula>IF(E$65&lt;=$F$63,1,0)</formula>
    </cfRule>
  </conditionalFormatting>
  <conditionalFormatting sqref="E70:N70">
    <cfRule type="expression" dxfId="42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543</v>
      </c>
    </row>
    <row r="3" spans="1:56" ht="15" customHeight="1">
      <c r="B3" s="171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Völklingen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2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99">
        <v>2</v>
      </c>
      <c r="G10" s="56"/>
      <c r="H10" s="172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583</v>
      </c>
      <c r="D13" s="351"/>
      <c r="E13" s="351"/>
      <c r="F13" s="183" t="s">
        <v>547</v>
      </c>
      <c r="G13" s="130" t="s">
        <v>545</v>
      </c>
      <c r="H13" s="265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445</v>
      </c>
      <c r="D14" s="352"/>
      <c r="E14" s="89" t="s">
        <v>446</v>
      </c>
      <c r="F14" s="266" t="s">
        <v>85</v>
      </c>
      <c r="G14" s="267" t="s">
        <v>571</v>
      </c>
      <c r="H14" s="50">
        <v>0</v>
      </c>
      <c r="I14" s="56"/>
      <c r="J14" s="130"/>
      <c r="K14" s="130"/>
      <c r="L14" s="130"/>
      <c r="M14" s="130"/>
      <c r="N14" s="130"/>
      <c r="O14" s="173" t="s">
        <v>526</v>
      </c>
      <c r="R14" s="209" t="s">
        <v>563</v>
      </c>
      <c r="S14" s="209" t="s">
        <v>564</v>
      </c>
      <c r="T14" s="209" t="s">
        <v>565</v>
      </c>
      <c r="U14" s="209" t="s">
        <v>566</v>
      </c>
      <c r="V14" s="209" t="s">
        <v>546</v>
      </c>
      <c r="W14" s="209" t="s">
        <v>567</v>
      </c>
      <c r="X14" s="209" t="s">
        <v>568</v>
      </c>
      <c r="Y14" s="209" t="s">
        <v>569</v>
      </c>
      <c r="Z14" s="209" t="s">
        <v>570</v>
      </c>
      <c r="AA14" s="209" t="s">
        <v>571</v>
      </c>
      <c r="AB14" s="209" t="s">
        <v>572</v>
      </c>
      <c r="AC14" s="209" t="s">
        <v>573</v>
      </c>
    </row>
    <row r="15" spans="1:56" ht="19.5" customHeight="1">
      <c r="B15" s="130"/>
      <c r="C15" s="352" t="s">
        <v>385</v>
      </c>
      <c r="D15" s="352"/>
      <c r="E15" s="89" t="s">
        <v>446</v>
      </c>
      <c r="F15" s="266" t="s">
        <v>71</v>
      </c>
      <c r="G15" s="267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368</v>
      </c>
      <c r="AH15" s="264" t="s">
        <v>491</v>
      </c>
      <c r="AI15" s="264" t="s">
        <v>548</v>
      </c>
      <c r="AJ15" s="264" t="s">
        <v>549</v>
      </c>
      <c r="AK15" s="264" t="s">
        <v>550</v>
      </c>
      <c r="AL15" s="264" t="s">
        <v>551</v>
      </c>
      <c r="AM15" s="264" t="s">
        <v>552</v>
      </c>
      <c r="AN15" s="264" t="s">
        <v>553</v>
      </c>
      <c r="AO15" s="264" t="s">
        <v>554</v>
      </c>
      <c r="AP15" s="264" t="s">
        <v>555</v>
      </c>
      <c r="AQ15" s="264" t="s">
        <v>556</v>
      </c>
      <c r="AR15" s="264" t="s">
        <v>557</v>
      </c>
      <c r="AS15" s="264" t="s">
        <v>558</v>
      </c>
      <c r="AT15" s="264" t="s">
        <v>559</v>
      </c>
      <c r="AU15" s="264" t="s">
        <v>560</v>
      </c>
      <c r="AV15" s="264" t="s">
        <v>561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516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522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517</v>
      </c>
      <c r="D20" s="180" t="s">
        <v>513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524</v>
      </c>
      <c r="D21" s="153" t="s">
        <v>515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536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502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519</v>
      </c>
      <c r="D24" s="188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5" t="s">
        <v>520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514</v>
      </c>
      <c r="D25" s="188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256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525</v>
      </c>
      <c r="D31" s="186" t="s">
        <v>255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532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3"/>
      <c r="C34" s="187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5" t="s">
        <v>142</v>
      </c>
      <c r="Q35" s="211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347</v>
      </c>
      <c r="D39" s="198"/>
      <c r="E39" s="198" t="s">
        <v>530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531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523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528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529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535</v>
      </c>
      <c r="D46" s="201" t="s">
        <v>533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360</v>
      </c>
      <c r="K46" s="198"/>
      <c r="L46" s="198"/>
      <c r="M46" s="198"/>
      <c r="N46" s="198"/>
      <c r="O46" s="199"/>
    </row>
    <row r="47" spans="2:28">
      <c r="B47" s="193"/>
      <c r="C47" s="200" t="s">
        <v>346</v>
      </c>
      <c r="D47" s="201" t="s">
        <v>533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360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578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517</v>
      </c>
      <c r="D54" s="180" t="s">
        <v>513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524</v>
      </c>
      <c r="D55" s="153" t="s">
        <v>515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536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519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520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514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256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525</v>
      </c>
      <c r="D65" s="186" t="s">
        <v>255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532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3" t="s">
        <v>579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1" priority="18">
      <formula>IF(E$20&lt;=$F$18,1,0)</formula>
    </cfRule>
  </conditionalFormatting>
  <conditionalFormatting sqref="E32:N36">
    <cfRule type="expression" dxfId="40" priority="17">
      <formula>IF(E$30&lt;=$F$28,1,0)</formula>
    </cfRule>
  </conditionalFormatting>
  <conditionalFormatting sqref="E26:F26">
    <cfRule type="expression" dxfId="39" priority="16">
      <formula>IF(E$20&lt;=$F$18,1,0)</formula>
    </cfRule>
  </conditionalFormatting>
  <conditionalFormatting sqref="E26:N26">
    <cfRule type="expression" dxfId="38" priority="15">
      <formula>IF(E$20&lt;=$F$18,1,0)</formula>
    </cfRule>
  </conditionalFormatting>
  <conditionalFormatting sqref="E56:N59">
    <cfRule type="expression" dxfId="37" priority="14">
      <formula>IF(E$54&lt;=$F$52,1,0)</formula>
    </cfRule>
  </conditionalFormatting>
  <conditionalFormatting sqref="E60:N60">
    <cfRule type="expression" dxfId="36" priority="13">
      <formula>IF(E$54&lt;=$F$52,1,0)</formula>
    </cfRule>
  </conditionalFormatting>
  <conditionalFormatting sqref="E66:N68">
    <cfRule type="expression" dxfId="35" priority="12">
      <formula>IF(E$64&lt;=$F$62,1,0)</formula>
    </cfRule>
  </conditionalFormatting>
  <conditionalFormatting sqref="E65:N68 E70:N70">
    <cfRule type="expression" dxfId="34" priority="11">
      <formula>IF(E$64&gt;$F$62,1,0)</formula>
    </cfRule>
  </conditionalFormatting>
  <conditionalFormatting sqref="E56:N60">
    <cfRule type="expression" dxfId="33" priority="10">
      <formula>IF(E$54&gt;$F$52,1,0)</formula>
    </cfRule>
  </conditionalFormatting>
  <conditionalFormatting sqref="E21:N26">
    <cfRule type="expression" dxfId="32" priority="9">
      <formula>IF(E$20&gt;$F$18,1,0)</formula>
    </cfRule>
  </conditionalFormatting>
  <conditionalFormatting sqref="E32:N36">
    <cfRule type="expression" dxfId="31" priority="8">
      <formula>IF(E$30&gt;$F$28,1,0)</formula>
    </cfRule>
  </conditionalFormatting>
  <conditionalFormatting sqref="H11 H8:H9">
    <cfRule type="expression" dxfId="30" priority="7">
      <formula>IF($F$9=1,1,0)</formula>
    </cfRule>
  </conditionalFormatting>
  <conditionalFormatting sqref="E55:N55">
    <cfRule type="expression" dxfId="29" priority="6">
      <formula>IF(E$54&gt;$F$52,1,0)</formula>
    </cfRule>
  </conditionalFormatting>
  <conditionalFormatting sqref="E31:N31">
    <cfRule type="expression" dxfId="28" priority="5">
      <formula>IF(E$30&gt;$F$28,1,0)</formula>
    </cfRule>
  </conditionalFormatting>
  <conditionalFormatting sqref="E70:N70">
    <cfRule type="expression" dxfId="27" priority="4">
      <formula>IF(E$64&lt;=$F$62,1,0)</formula>
    </cfRule>
  </conditionalFormatting>
  <conditionalFormatting sqref="H10">
    <cfRule type="expression" dxfId="26" priority="3">
      <formula>IF($F$9=1,1,0)</formula>
    </cfRule>
  </conditionalFormatting>
  <conditionalFormatting sqref="E69:N69">
    <cfRule type="expression" dxfId="25" priority="2">
      <formula>IF(E$64&lt;=$F$62,1,0)</formula>
    </cfRule>
  </conditionalFormatting>
  <conditionalFormatting sqref="E69:N69">
    <cfRule type="expression" dxfId="24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E11" sqref="E1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Stadtwerke Völklingen Netz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Völklingen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 t="str">
        <f>Netzbetreiber!$D$11</f>
        <v>9870101100004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44470</v>
      </c>
      <c r="E8" s="130"/>
      <c r="F8" s="130"/>
      <c r="H8" s="128" t="s">
        <v>493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7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305" t="s">
        <v>647</v>
      </c>
    </row>
    <row r="11" spans="2:26" ht="15.75" thickBot="1">
      <c r="B11" s="139" t="s">
        <v>494</v>
      </c>
      <c r="C11" s="140" t="s">
        <v>509</v>
      </c>
      <c r="D11" s="304" t="s">
        <v>248</v>
      </c>
      <c r="E11" s="164" t="s">
        <v>11</v>
      </c>
      <c r="F11" s="306" t="str">
        <f>VLOOKUP($E11,'BDEW-Standard'!$B$3:$M$158,F$9,0)</f>
        <v>A13</v>
      </c>
      <c r="H11" s="167">
        <f>ROUND(VLOOKUP($E11,'BDEW-Standard'!$B$3:$M$158,H$9,0),7)</f>
        <v>3.0722214999999999</v>
      </c>
      <c r="I11" s="167">
        <f>ROUND(VLOOKUP($E11,'BDEW-Standard'!$B$3:$M$158,I$9,0),7)</f>
        <v>-37.184284400000003</v>
      </c>
      <c r="J11" s="167">
        <f>ROUND(VLOOKUP($E11,'BDEW-Standard'!$B$3:$M$158,J$9,0),7)</f>
        <v>5.6975233999999997</v>
      </c>
      <c r="K11" s="167">
        <f>ROUND(VLOOKUP($E11,'BDEW-Standard'!$B$3:$M$158,K$9,0),7)</f>
        <v>9.3521499999999994E-2</v>
      </c>
      <c r="L11" s="214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213">
        <f>($H11/(1+($I11/($Q$9-$L11))^$J11)+$K11)+MAX($M11*$Q$9+$N11,$O11*$Q$9+$P11)</f>
        <v>1.0099146187342742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302">
        <v>365.12299999999999</v>
      </c>
    </row>
    <row r="12" spans="2:26">
      <c r="B12" s="141">
        <v>1</v>
      </c>
      <c r="C12" s="142" t="str">
        <f t="shared" ref="C12:C41" si="0">$D$6</f>
        <v>Völklingen</v>
      </c>
      <c r="D12" s="62" t="s">
        <v>248</v>
      </c>
      <c r="E12" s="165" t="s">
        <v>11</v>
      </c>
      <c r="F12" s="307" t="str">
        <f>VLOOKUP($E12,'BDEW-Standard'!$B$3:$M$158,F$9,0)</f>
        <v>A13</v>
      </c>
      <c r="G12" s="143"/>
      <c r="H12" s="278">
        <f>ROUND(VLOOKUP($E12,'BDEW-Standard'!$B$3:$M$158,H$9,0),7)</f>
        <v>3.0722214999999999</v>
      </c>
      <c r="I12" s="278">
        <f>ROUND(VLOOKUP($E12,'BDEW-Standard'!$B$3:$M$158,I$9,0),7)</f>
        <v>-37.184284400000003</v>
      </c>
      <c r="J12" s="278">
        <f>ROUND(VLOOKUP($E12,'BDEW-Standard'!$B$3:$M$158,J$9,0),7)</f>
        <v>5.6975233999999997</v>
      </c>
      <c r="K12" s="278">
        <f>ROUND(VLOOKUP($E12,'BDEW-Standard'!$B$3:$M$158,K$9,0),7)</f>
        <v>9.3521499999999994E-2</v>
      </c>
      <c r="L12" s="279">
        <f>ROUND(VLOOKUP($E12,'BDEW-Standard'!$B$3:$M$158,L$9,0),1)</f>
        <v>40</v>
      </c>
      <c r="M12" s="278">
        <f>ROUND(VLOOKUP($E12,'BDEW-Standard'!$B$3:$M$158,M$9,0),7)</f>
        <v>0</v>
      </c>
      <c r="N12" s="278">
        <f>ROUND(VLOOKUP($E12,'BDEW-Standard'!$B$3:$M$158,N$9,0),7)</f>
        <v>0</v>
      </c>
      <c r="O12" s="278">
        <f>ROUND(VLOOKUP($E12,'BDEW-Standard'!$B$3:$M$158,O$9,0),7)</f>
        <v>0</v>
      </c>
      <c r="P12" s="278">
        <f>ROUND(VLOOKUP($E12,'BDEW-Standard'!$B$3:$M$158,P$9,0),7)</f>
        <v>0</v>
      </c>
      <c r="Q12" s="280">
        <f>($H12/(1+($I12/($Q$9-$L12))^$J12)+$K12)+MAX($M12*$Q$9+$N12,$O12*$Q$9+$P12)</f>
        <v>1.0099146187342742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Völklingen</v>
      </c>
      <c r="D13" s="62" t="s">
        <v>248</v>
      </c>
      <c r="E13" s="165" t="s">
        <v>15</v>
      </c>
      <c r="F13" s="307" t="str">
        <f>VLOOKUP($E13,'BDEW-Standard'!$B$3:$M$158,F$9,0)</f>
        <v>A23</v>
      </c>
      <c r="H13" s="278">
        <f>ROUND(VLOOKUP($E13,'BDEW-Standard'!$B$3:$M$158,H$9,0),7)</f>
        <v>2.4207684</v>
      </c>
      <c r="I13" s="278">
        <f>ROUND(VLOOKUP($E13,'BDEW-Standard'!$B$3:$M$158,I$9,0),7)</f>
        <v>-34.727791699999997</v>
      </c>
      <c r="J13" s="278">
        <f>ROUND(VLOOKUP($E13,'BDEW-Standard'!$B$3:$M$158,J$9,0),7)</f>
        <v>5.7668252000000004</v>
      </c>
      <c r="K13" s="278">
        <f>ROUND(VLOOKUP($E13,'BDEW-Standard'!$B$3:$M$158,K$9,0),7)</f>
        <v>0.1119412</v>
      </c>
      <c r="L13" s="279">
        <f>ROUND(VLOOKUP($E13,'BDEW-Standard'!$B$3:$M$158,L$9,0),1)</f>
        <v>40</v>
      </c>
      <c r="M13" s="278">
        <f>ROUND(VLOOKUP($E13,'BDEW-Standard'!$B$3:$M$158,M$9,0),7)</f>
        <v>0</v>
      </c>
      <c r="N13" s="278">
        <f>ROUND(VLOOKUP($E13,'BDEW-Standard'!$B$3:$M$158,N$9,0),7)</f>
        <v>0</v>
      </c>
      <c r="O13" s="278">
        <f>ROUND(VLOOKUP($E13,'BDEW-Standard'!$B$3:$M$158,O$9,0),7)</f>
        <v>0</v>
      </c>
      <c r="P13" s="278">
        <f>ROUND(VLOOKUP($E13,'BDEW-Standard'!$B$3:$M$158,P$9,0),7)</f>
        <v>0</v>
      </c>
      <c r="Q13" s="280">
        <f>($H13/(1+($I13/($Q$9-$L13))^$J13)+$K13)+MAX($M13*$Q$9+$N13,$O13*$Q$9+$P13)</f>
        <v>1.0420046813194315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Völklingen</v>
      </c>
      <c r="D14" s="62" t="s">
        <v>248</v>
      </c>
      <c r="E14" s="165" t="s">
        <v>664</v>
      </c>
      <c r="F14" s="307" t="str">
        <f>VLOOKUP($E14,'BDEW-Standard'!$B$3:$M$94,F$9,0)</f>
        <v>BA3</v>
      </c>
      <c r="H14" s="278">
        <f>ROUND(VLOOKUP($E14,'BDEW-Standard'!$B$3:$M$94,H$9,0),7)</f>
        <v>0.62619619999999998</v>
      </c>
      <c r="I14" s="278">
        <f>ROUND(VLOOKUP($E14,'BDEW-Standard'!$B$3:$M$94,I$9,0),7)</f>
        <v>-33</v>
      </c>
      <c r="J14" s="278">
        <f>ROUND(VLOOKUP($E14,'BDEW-Standard'!$B$3:$M$94,J$9,0),7)</f>
        <v>5.7212303000000002</v>
      </c>
      <c r="K14" s="278">
        <f>ROUND(VLOOKUP($E14,'BDEW-Standard'!$B$3:$M$94,K$9,0),7)</f>
        <v>0.78556550000000003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ref="Q12:Q26" si="1">($H14/(1+($I14/($Q$9-$L14))^$J14)+$K14)+MAX($M14*$Q$9+$N14,$O14*$Q$9+$P14)</f>
        <v>1.0711738317583412</v>
      </c>
      <c r="R14" s="281">
        <f>ROUND(VLOOKUP(MID($E14,4,3),'Wochentag F(WT)'!$B$7:$J$22,R$9,0),4)</f>
        <v>1.0848</v>
      </c>
      <c r="S14" s="281">
        <f>ROUND(VLOOKUP(MID($E14,4,3),'Wochentag F(WT)'!$B$7:$J$22,S$9,0),4)</f>
        <v>1.1211</v>
      </c>
      <c r="T14" s="281">
        <f>ROUND(VLOOKUP(MID($E14,4,3),'Wochentag F(WT)'!$B$7:$J$22,T$9,0),4)</f>
        <v>1.0769</v>
      </c>
      <c r="U14" s="281">
        <f>ROUND(VLOOKUP(MID($E14,4,3),'Wochentag F(WT)'!$B$7:$J$22,U$9,0),4)</f>
        <v>1.1353</v>
      </c>
      <c r="V14" s="281">
        <f>ROUND(VLOOKUP(MID($E14,4,3),'Wochentag F(WT)'!$B$7:$J$22,V$9,0),4)</f>
        <v>1.1402000000000001</v>
      </c>
      <c r="W14" s="281">
        <f>ROUND(VLOOKUP(MID($E14,4,3),'Wochentag F(WT)'!$B$7:$J$22,W$9,0),4)</f>
        <v>0.48520000000000002</v>
      </c>
      <c r="X14" s="282">
        <f t="shared" ref="X13:X26" si="2">7-SUM(R14:W14)</f>
        <v>0.95650000000000013</v>
      </c>
      <c r="Y14" s="303"/>
      <c r="Z14" s="212"/>
    </row>
    <row r="15" spans="2:26" s="143" customFormat="1">
      <c r="B15" s="144">
        <v>4</v>
      </c>
      <c r="C15" s="145" t="str">
        <f t="shared" si="0"/>
        <v>Völklingen</v>
      </c>
      <c r="D15" s="62" t="s">
        <v>248</v>
      </c>
      <c r="E15" s="165" t="s">
        <v>665</v>
      </c>
      <c r="F15" s="307" t="str">
        <f>VLOOKUP($E15,'BDEW-Standard'!$B$3:$M$94,F$9,0)</f>
        <v>BD3</v>
      </c>
      <c r="H15" s="278">
        <f>ROUND(VLOOKUP($E15,'BDEW-Standard'!$B$3:$M$94,H$9,0),7)</f>
        <v>2.9177027</v>
      </c>
      <c r="I15" s="278">
        <f>ROUND(VLOOKUP($E15,'BDEW-Standard'!$B$3:$M$94,I$9,0),7)</f>
        <v>-36.179411700000003</v>
      </c>
      <c r="J15" s="278">
        <f>ROUND(VLOOKUP($E15,'BDEW-Standard'!$B$3:$M$94,J$9,0),7)</f>
        <v>5.9265162</v>
      </c>
      <c r="K15" s="278">
        <f>ROUND(VLOOKUP($E15,'BDEW-Standard'!$B$3:$M$94,K$9,0),7)</f>
        <v>0.11519119999999999</v>
      </c>
      <c r="L15" s="279">
        <f>ROUND(VLOOKUP($E15,'BDEW-Standard'!$B$3:$M$94,L$9,0),1)</f>
        <v>40</v>
      </c>
      <c r="M15" s="278">
        <f>ROUND(VLOOKUP($E15,'BDEW-Standard'!$B$3:$M$94,M$9,0),7)</f>
        <v>0</v>
      </c>
      <c r="N15" s="278">
        <f>ROUND(VLOOKUP($E15,'BDEW-Standard'!$B$3:$M$94,N$9,0),7)</f>
        <v>0</v>
      </c>
      <c r="O15" s="278">
        <f>ROUND(VLOOKUP($E15,'BDEW-Standard'!$B$3:$M$94,O$9,0),7)</f>
        <v>0</v>
      </c>
      <c r="P15" s="278">
        <f>ROUND(VLOOKUP($E15,'BDEW-Standard'!$B$3:$M$94,P$9,0),7)</f>
        <v>0</v>
      </c>
      <c r="Q15" s="280">
        <f t="shared" si="1"/>
        <v>1.0656106174494469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5</v>
      </c>
      <c r="C16" s="145" t="str">
        <f t="shared" si="0"/>
        <v>Völklingen</v>
      </c>
      <c r="D16" s="62" t="s">
        <v>248</v>
      </c>
      <c r="E16" s="165" t="s">
        <v>666</v>
      </c>
      <c r="F16" s="307" t="str">
        <f>VLOOKUP($E16,'BDEW-Standard'!$B$3:$M$94,F$9,0)</f>
        <v>GA3</v>
      </c>
      <c r="H16" s="278">
        <f>ROUND(VLOOKUP($E16,'BDEW-Standard'!$B$3:$M$94,H$9,0),7)</f>
        <v>2.2850164999999998</v>
      </c>
      <c r="I16" s="278">
        <f>ROUND(VLOOKUP($E16,'BDEW-Standard'!$B$3:$M$94,I$9,0),7)</f>
        <v>-36.287858399999998</v>
      </c>
      <c r="J16" s="278">
        <f>ROUND(VLOOKUP($E16,'BDEW-Standard'!$B$3:$M$94,J$9,0),7)</f>
        <v>6.5885125999999996</v>
      </c>
      <c r="K16" s="278">
        <f>ROUND(VLOOKUP($E16,'BDEW-Standard'!$B$3:$M$94,K$9,0),7)</f>
        <v>0.31505349999999999</v>
      </c>
      <c r="L16" s="279">
        <f>ROUND(VLOOKUP($E16,'BDEW-Standard'!$B$3:$M$94,L$9,0),1)</f>
        <v>40</v>
      </c>
      <c r="M16" s="278">
        <f>ROUND(VLOOKUP($E16,'BDEW-Standard'!$B$3:$M$94,M$9,0),7)</f>
        <v>0</v>
      </c>
      <c r="N16" s="278">
        <f>ROUND(VLOOKUP($E16,'BDEW-Standard'!$B$3:$M$94,N$9,0),7)</f>
        <v>0</v>
      </c>
      <c r="O16" s="278">
        <f>ROUND(VLOOKUP($E16,'BDEW-Standard'!$B$3:$M$94,O$9,0),7)</f>
        <v>0</v>
      </c>
      <c r="P16" s="278">
        <f>ROUND(VLOOKUP($E16,'BDEW-Standard'!$B$3:$M$94,P$9,0),7)</f>
        <v>0</v>
      </c>
      <c r="Q16" s="280">
        <f t="shared" si="1"/>
        <v>1.0096183914256316</v>
      </c>
      <c r="R16" s="281">
        <f>ROUND(VLOOKUP(MID($E16,4,3),'Wochentag F(WT)'!$B$7:$J$22,R$9,0),4)</f>
        <v>0.93220000000000003</v>
      </c>
      <c r="S16" s="281">
        <f>ROUND(VLOOKUP(MID($E16,4,3),'Wochentag F(WT)'!$B$7:$J$22,S$9,0),4)</f>
        <v>0.98939999999999995</v>
      </c>
      <c r="T16" s="281">
        <f>ROUND(VLOOKUP(MID($E16,4,3),'Wochentag F(WT)'!$B$7:$J$22,T$9,0),4)</f>
        <v>1.0033000000000001</v>
      </c>
      <c r="U16" s="281">
        <f>ROUND(VLOOKUP(MID($E16,4,3),'Wochentag F(WT)'!$B$7:$J$22,U$9,0),4)</f>
        <v>1.0108999999999999</v>
      </c>
      <c r="V16" s="281">
        <f>ROUND(VLOOKUP(MID($E16,4,3),'Wochentag F(WT)'!$B$7:$J$22,V$9,0),4)</f>
        <v>1.018</v>
      </c>
      <c r="W16" s="281">
        <f>ROUND(VLOOKUP(MID($E16,4,3),'Wochentag F(WT)'!$B$7:$J$22,W$9,0),4)</f>
        <v>1.0356000000000001</v>
      </c>
      <c r="X16" s="282">
        <f t="shared" si="2"/>
        <v>1.0106000000000002</v>
      </c>
      <c r="Y16" s="303"/>
      <c r="Z16" s="212"/>
    </row>
    <row r="17" spans="2:26" s="143" customFormat="1">
      <c r="B17" s="144">
        <v>6</v>
      </c>
      <c r="C17" s="145" t="str">
        <f t="shared" si="0"/>
        <v>Völklingen</v>
      </c>
      <c r="D17" s="62" t="s">
        <v>248</v>
      </c>
      <c r="E17" s="165" t="s">
        <v>667</v>
      </c>
      <c r="F17" s="307" t="str">
        <f>VLOOKUP($E17,'BDEW-Standard'!$B$3:$M$94,F$9,0)</f>
        <v>GB3</v>
      </c>
      <c r="H17" s="278">
        <f>ROUND(VLOOKUP($E17,'BDEW-Standard'!$B$3:$M$94,H$9,0),7)</f>
        <v>3.2572741999999999</v>
      </c>
      <c r="I17" s="278">
        <f>ROUND(VLOOKUP($E17,'BDEW-Standard'!$B$3:$M$94,I$9,0),7)</f>
        <v>-37.5</v>
      </c>
      <c r="J17" s="278">
        <f>ROUND(VLOOKUP($E17,'BDEW-Standard'!$B$3:$M$94,J$9,0),7)</f>
        <v>6.3462148000000003</v>
      </c>
      <c r="K17" s="278">
        <f>ROUND(VLOOKUP($E17,'BDEW-Standard'!$B$3:$M$94,K$9,0),7)</f>
        <v>8.6622699999999997E-2</v>
      </c>
      <c r="L17" s="279">
        <f>ROUND(VLOOKUP($E17,'BDEW-Standard'!$B$3:$M$94,L$9,0),1)</f>
        <v>40</v>
      </c>
      <c r="M17" s="278">
        <f>ROUND(VLOOKUP($E17,'BDEW-Standard'!$B$3:$M$94,M$9,0),7)</f>
        <v>0</v>
      </c>
      <c r="N17" s="278">
        <f>ROUND(VLOOKUP($E17,'BDEW-Standard'!$B$3:$M$94,N$9,0),7)</f>
        <v>0</v>
      </c>
      <c r="O17" s="278">
        <f>ROUND(VLOOKUP($E17,'BDEW-Standard'!$B$3:$M$94,O$9,0),7)</f>
        <v>0</v>
      </c>
      <c r="P17" s="278">
        <f>ROUND(VLOOKUP($E17,'BDEW-Standard'!$B$3:$M$94,P$9,0),7)</f>
        <v>0</v>
      </c>
      <c r="Q17" s="280">
        <f t="shared" si="1"/>
        <v>0.9584556323619029</v>
      </c>
      <c r="R17" s="281">
        <f>ROUND(VLOOKUP(MID($E17,4,3),'Wochentag F(WT)'!$B$7:$J$22,R$9,0),4)</f>
        <v>0.98970000000000002</v>
      </c>
      <c r="S17" s="281">
        <f>ROUND(VLOOKUP(MID($E17,4,3),'Wochentag F(WT)'!$B$7:$J$22,S$9,0),4)</f>
        <v>0.9627</v>
      </c>
      <c r="T17" s="281">
        <f>ROUND(VLOOKUP(MID($E17,4,3),'Wochentag F(WT)'!$B$7:$J$22,T$9,0),4)</f>
        <v>1.0507</v>
      </c>
      <c r="U17" s="281">
        <f>ROUND(VLOOKUP(MID($E17,4,3),'Wochentag F(WT)'!$B$7:$J$22,U$9,0),4)</f>
        <v>1.0551999999999999</v>
      </c>
      <c r="V17" s="281">
        <f>ROUND(VLOOKUP(MID($E17,4,3),'Wochentag F(WT)'!$B$7:$J$22,V$9,0),4)</f>
        <v>1.0297000000000001</v>
      </c>
      <c r="W17" s="281">
        <f>ROUND(VLOOKUP(MID($E17,4,3),'Wochentag F(WT)'!$B$7:$J$22,W$9,0),4)</f>
        <v>0.97670000000000001</v>
      </c>
      <c r="X17" s="282">
        <f t="shared" si="2"/>
        <v>0.9352999999999998</v>
      </c>
      <c r="Y17" s="303"/>
      <c r="Z17" s="212"/>
    </row>
    <row r="18" spans="2:26" s="143" customFormat="1">
      <c r="B18" s="144">
        <v>7</v>
      </c>
      <c r="C18" s="145" t="str">
        <f t="shared" si="0"/>
        <v>Völklingen</v>
      </c>
      <c r="D18" s="62" t="s">
        <v>248</v>
      </c>
      <c r="E18" s="165" t="s">
        <v>668</v>
      </c>
      <c r="F18" s="307" t="str">
        <f>VLOOKUP($E18,'BDEW-Standard'!$B$3:$M$94,F$9,0)</f>
        <v>HA3</v>
      </c>
      <c r="H18" s="278">
        <f>ROUND(VLOOKUP($E18,'BDEW-Standard'!$B$3:$M$94,H$9,0),7)</f>
        <v>3.5811213999999998</v>
      </c>
      <c r="I18" s="278">
        <f>ROUND(VLOOKUP($E18,'BDEW-Standard'!$B$3:$M$94,I$9,0),7)</f>
        <v>-36.965006500000001</v>
      </c>
      <c r="J18" s="278">
        <f>ROUND(VLOOKUP($E18,'BDEW-Standard'!$B$3:$M$94,J$9,0),7)</f>
        <v>7.2256947</v>
      </c>
      <c r="K18" s="278">
        <f>ROUND(VLOOKUP($E18,'BDEW-Standard'!$B$3:$M$94,K$9,0),7)</f>
        <v>4.4841600000000002E-2</v>
      </c>
      <c r="L18" s="279">
        <f>ROUND(VLOOKUP($E18,'BDEW-Standard'!$B$3:$M$94,L$9,0),1)</f>
        <v>40</v>
      </c>
      <c r="M18" s="278">
        <f>ROUND(VLOOKUP($E18,'BDEW-Standard'!$B$3:$M$94,M$9,0),7)</f>
        <v>0</v>
      </c>
      <c r="N18" s="278">
        <f>ROUND(VLOOKUP($E18,'BDEW-Standard'!$B$3:$M$94,N$9,0),7)</f>
        <v>0</v>
      </c>
      <c r="O18" s="278">
        <f>ROUND(VLOOKUP($E18,'BDEW-Standard'!$B$3:$M$94,O$9,0),7)</f>
        <v>0</v>
      </c>
      <c r="P18" s="278">
        <f>ROUND(VLOOKUP($E18,'BDEW-Standard'!$B$3:$M$94,P$9,0),7)</f>
        <v>0</v>
      </c>
      <c r="Q18" s="280">
        <f t="shared" si="1"/>
        <v>0.97852945357176691</v>
      </c>
      <c r="R18" s="281">
        <f>ROUND(VLOOKUP(MID($E18,4,3),'Wochentag F(WT)'!$B$7:$J$22,R$9,0),4)</f>
        <v>1.0358000000000001</v>
      </c>
      <c r="S18" s="281">
        <f>ROUND(VLOOKUP(MID($E18,4,3),'Wochentag F(WT)'!$B$7:$J$22,S$9,0),4)</f>
        <v>1.0232000000000001</v>
      </c>
      <c r="T18" s="281">
        <f>ROUND(VLOOKUP(MID($E18,4,3),'Wochentag F(WT)'!$B$7:$J$22,T$9,0),4)</f>
        <v>1.0251999999999999</v>
      </c>
      <c r="U18" s="281">
        <f>ROUND(VLOOKUP(MID($E18,4,3),'Wochentag F(WT)'!$B$7:$J$22,U$9,0),4)</f>
        <v>1.0295000000000001</v>
      </c>
      <c r="V18" s="281">
        <f>ROUND(VLOOKUP(MID($E18,4,3),'Wochentag F(WT)'!$B$7:$J$22,V$9,0),4)</f>
        <v>1.0253000000000001</v>
      </c>
      <c r="W18" s="281">
        <f>ROUND(VLOOKUP(MID($E18,4,3),'Wochentag F(WT)'!$B$7:$J$22,W$9,0),4)</f>
        <v>0.96750000000000003</v>
      </c>
      <c r="X18" s="282">
        <f t="shared" si="2"/>
        <v>0.89350000000000041</v>
      </c>
      <c r="Y18" s="303"/>
      <c r="Z18" s="212"/>
    </row>
    <row r="19" spans="2:26" s="143" customFormat="1">
      <c r="B19" s="144">
        <v>8</v>
      </c>
      <c r="C19" s="145" t="str">
        <f t="shared" si="0"/>
        <v>Völklingen</v>
      </c>
      <c r="D19" s="62" t="s">
        <v>248</v>
      </c>
      <c r="E19" s="165" t="s">
        <v>669</v>
      </c>
      <c r="F19" s="307" t="str">
        <f>VLOOKUP($E19,'BDEW-Standard'!$B$3:$M$94,F$9,0)</f>
        <v>KO3</v>
      </c>
      <c r="H19" s="278">
        <f>ROUND(VLOOKUP($E19,'BDEW-Standard'!$B$3:$M$94,H$9,0),7)</f>
        <v>2.7172288</v>
      </c>
      <c r="I19" s="278">
        <f>ROUND(VLOOKUP($E19,'BDEW-Standard'!$B$3:$M$94,I$9,0),7)</f>
        <v>-35.141256300000002</v>
      </c>
      <c r="J19" s="278">
        <f>ROUND(VLOOKUP($E19,'BDEW-Standard'!$B$3:$M$94,J$9,0),7)</f>
        <v>7.1303394999999998</v>
      </c>
      <c r="K19" s="278">
        <f>ROUND(VLOOKUP($E19,'BDEW-Standard'!$B$3:$M$94,K$9,0),7)</f>
        <v>0.14184720000000001</v>
      </c>
      <c r="L19" s="279">
        <f>ROUND(VLOOKUP($E19,'BDEW-Standard'!$B$3:$M$94,L$9,0),1)</f>
        <v>40</v>
      </c>
      <c r="M19" s="278">
        <f>ROUND(VLOOKUP($E19,'BDEW-Standard'!$B$3:$M$94,M$9,0),7)</f>
        <v>0</v>
      </c>
      <c r="N19" s="278">
        <f>ROUND(VLOOKUP($E19,'BDEW-Standard'!$B$3:$M$94,N$9,0),7)</f>
        <v>0</v>
      </c>
      <c r="O19" s="278">
        <f>ROUND(VLOOKUP($E19,'BDEW-Standard'!$B$3:$M$94,O$9,0),7)</f>
        <v>0</v>
      </c>
      <c r="P19" s="278">
        <f>ROUND(VLOOKUP($E19,'BDEW-Standard'!$B$3:$M$94,P$9,0),7)</f>
        <v>0</v>
      </c>
      <c r="Q19" s="280">
        <f t="shared" si="1"/>
        <v>1.0630299199876638</v>
      </c>
      <c r="R19" s="281">
        <f>ROUND(VLOOKUP(MID($E19,4,3),'Wochentag F(WT)'!$B$7:$J$22,R$9,0),4)</f>
        <v>1.0354000000000001</v>
      </c>
      <c r="S19" s="281">
        <f>ROUND(VLOOKUP(MID($E19,4,3),'Wochentag F(WT)'!$B$7:$J$22,S$9,0),4)</f>
        <v>1.0523</v>
      </c>
      <c r="T19" s="281">
        <f>ROUND(VLOOKUP(MID($E19,4,3),'Wochentag F(WT)'!$B$7:$J$22,T$9,0),4)</f>
        <v>1.0448999999999999</v>
      </c>
      <c r="U19" s="281">
        <f>ROUND(VLOOKUP(MID($E19,4,3),'Wochentag F(WT)'!$B$7:$J$22,U$9,0),4)</f>
        <v>1.0494000000000001</v>
      </c>
      <c r="V19" s="281">
        <f>ROUND(VLOOKUP(MID($E19,4,3),'Wochentag F(WT)'!$B$7:$J$22,V$9,0),4)</f>
        <v>0.98850000000000005</v>
      </c>
      <c r="W19" s="281">
        <f>ROUND(VLOOKUP(MID($E19,4,3),'Wochentag F(WT)'!$B$7:$J$22,W$9,0),4)</f>
        <v>0.88600000000000001</v>
      </c>
      <c r="X19" s="282">
        <f t="shared" si="2"/>
        <v>0.94349999999999934</v>
      </c>
      <c r="Y19" s="303"/>
      <c r="Z19" s="212"/>
    </row>
    <row r="20" spans="2:26" s="143" customFormat="1">
      <c r="B20" s="144">
        <v>9</v>
      </c>
      <c r="C20" s="145" t="str">
        <f t="shared" si="0"/>
        <v>Völklingen</v>
      </c>
      <c r="D20" s="62" t="s">
        <v>248</v>
      </c>
      <c r="E20" s="165" t="s">
        <v>4</v>
      </c>
      <c r="F20" s="307" t="str">
        <f>VLOOKUP($E20,'BDEW-Standard'!$B$3:$M$94,F$9,0)</f>
        <v>HK3</v>
      </c>
      <c r="H20" s="278">
        <f>ROUND(VLOOKUP($E20,'BDEW-Standard'!$B$3:$M$94,H$9,0),7)</f>
        <v>0.40409319999999999</v>
      </c>
      <c r="I20" s="278">
        <f>ROUND(VLOOKUP($E20,'BDEW-Standard'!$B$3:$M$94,I$9,0),7)</f>
        <v>-24.439296800000001</v>
      </c>
      <c r="J20" s="278">
        <f>ROUND(VLOOKUP($E20,'BDEW-Standard'!$B$3:$M$94,J$9,0),7)</f>
        <v>6.5718174999999999</v>
      </c>
      <c r="K20" s="278">
        <f>ROUND(VLOOKUP($E20,'BDEW-Standard'!$B$3:$M$94,K$9,0),7)</f>
        <v>0.71077100000000004</v>
      </c>
      <c r="L20" s="279">
        <f>ROUND(VLOOKUP($E20,'BDEW-Standard'!$B$3:$M$94,L$9,0),1)</f>
        <v>40</v>
      </c>
      <c r="M20" s="278">
        <f>ROUND(VLOOKUP($E20,'BDEW-Standard'!$B$3:$M$94,M$9,0),7)</f>
        <v>0</v>
      </c>
      <c r="N20" s="278">
        <f>ROUND(VLOOKUP($E20,'BDEW-Standard'!$B$3:$M$94,N$9,0),7)</f>
        <v>0</v>
      </c>
      <c r="O20" s="278">
        <f>ROUND(VLOOKUP($E20,'BDEW-Standard'!$B$3:$M$94,O$9,0),7)</f>
        <v>0</v>
      </c>
      <c r="P20" s="278">
        <f>ROUND(VLOOKUP($E20,'BDEW-Standard'!$B$3:$M$94,P$9,0),7)</f>
        <v>0</v>
      </c>
      <c r="Q20" s="280">
        <f t="shared" si="1"/>
        <v>1.0561214000512988</v>
      </c>
      <c r="R20" s="281">
        <f>ROUND(VLOOKUP(MID($E20,4,3),'Wochentag F(WT)'!$B$7:$J$22,R$9,0),4)</f>
        <v>1</v>
      </c>
      <c r="S20" s="281">
        <f>ROUND(VLOOKUP(MID($E20,4,3),'Wochentag F(WT)'!$B$7:$J$22,S$9,0),4)</f>
        <v>1</v>
      </c>
      <c r="T20" s="281">
        <f>ROUND(VLOOKUP(MID($E20,4,3),'Wochentag F(WT)'!$B$7:$J$22,T$9,0),4)</f>
        <v>1</v>
      </c>
      <c r="U20" s="281">
        <f>ROUND(VLOOKUP(MID($E20,4,3),'Wochentag F(WT)'!$B$7:$J$22,U$9,0),4)</f>
        <v>1</v>
      </c>
      <c r="V20" s="281">
        <f>ROUND(VLOOKUP(MID($E20,4,3),'Wochentag F(WT)'!$B$7:$J$22,V$9,0),4)</f>
        <v>1</v>
      </c>
      <c r="W20" s="281">
        <f>ROUND(VLOOKUP(MID($E20,4,3),'Wochentag F(WT)'!$B$7:$J$22,W$9,0),4)</f>
        <v>1</v>
      </c>
      <c r="X20" s="282">
        <f t="shared" si="2"/>
        <v>1</v>
      </c>
      <c r="Y20" s="303"/>
      <c r="Z20" s="212"/>
    </row>
    <row r="21" spans="2:26" s="143" customFormat="1">
      <c r="B21" s="144">
        <v>10</v>
      </c>
      <c r="C21" s="145" t="str">
        <f t="shared" si="0"/>
        <v>Völklingen</v>
      </c>
      <c r="D21" s="62" t="s">
        <v>248</v>
      </c>
      <c r="E21" s="165" t="s">
        <v>670</v>
      </c>
      <c r="F21" s="307" t="str">
        <f>VLOOKUP($E21,'BDEW-Standard'!$B$3:$M$94,F$9,0)</f>
        <v>MF3</v>
      </c>
      <c r="H21" s="278">
        <f>ROUND(VLOOKUP($E21,'BDEW-Standard'!$B$3:$M$94,H$9,0),7)</f>
        <v>2.3877617999999998</v>
      </c>
      <c r="I21" s="278">
        <f>ROUND(VLOOKUP($E21,'BDEW-Standard'!$B$3:$M$94,I$9,0),7)</f>
        <v>-34.721360500000003</v>
      </c>
      <c r="J21" s="278">
        <f>ROUND(VLOOKUP($E21,'BDEW-Standard'!$B$3:$M$94,J$9,0),7)</f>
        <v>5.8164303999999998</v>
      </c>
      <c r="K21" s="278">
        <f>ROUND(VLOOKUP($E21,'BDEW-Standard'!$B$3:$M$94,K$9,0),7)</f>
        <v>0.12081939999999999</v>
      </c>
      <c r="L21" s="279">
        <f>ROUND(VLOOKUP($E21,'BDEW-Standard'!$B$3:$M$94,L$9,0),1)</f>
        <v>40</v>
      </c>
      <c r="M21" s="278">
        <f>ROUND(VLOOKUP($E21,'BDEW-Standard'!$B$3:$M$94,M$9,0),7)</f>
        <v>0</v>
      </c>
      <c r="N21" s="278">
        <f>ROUND(VLOOKUP($E21,'BDEW-Standard'!$B$3:$M$94,N$9,0),7)</f>
        <v>0</v>
      </c>
      <c r="O21" s="278">
        <f>ROUND(VLOOKUP($E21,'BDEW-Standard'!$B$3:$M$94,O$9,0),7)</f>
        <v>0</v>
      </c>
      <c r="P21" s="278">
        <f>ROUND(VLOOKUP($E21,'BDEW-Standard'!$B$3:$M$94,P$9,0),7)</f>
        <v>0</v>
      </c>
      <c r="Q21" s="280">
        <f t="shared" si="1"/>
        <v>1.0365184142102302</v>
      </c>
      <c r="R21" s="281">
        <f>ROUND(VLOOKUP(MID($E21,4,3),'Wochentag F(WT)'!$B$7:$J$22,R$9,0),4)</f>
        <v>1.0354000000000001</v>
      </c>
      <c r="S21" s="281">
        <f>ROUND(VLOOKUP(MID($E21,4,3),'Wochentag F(WT)'!$B$7:$J$22,S$9,0),4)</f>
        <v>1.0523</v>
      </c>
      <c r="T21" s="281">
        <f>ROUND(VLOOKUP(MID($E21,4,3),'Wochentag F(WT)'!$B$7:$J$22,T$9,0),4)</f>
        <v>1.0448999999999999</v>
      </c>
      <c r="U21" s="281">
        <f>ROUND(VLOOKUP(MID($E21,4,3),'Wochentag F(WT)'!$B$7:$J$22,U$9,0),4)</f>
        <v>1.0494000000000001</v>
      </c>
      <c r="V21" s="281">
        <f>ROUND(VLOOKUP(MID($E21,4,3),'Wochentag F(WT)'!$B$7:$J$22,V$9,0),4)</f>
        <v>0.98850000000000005</v>
      </c>
      <c r="W21" s="281">
        <f>ROUND(VLOOKUP(MID($E21,4,3),'Wochentag F(WT)'!$B$7:$J$22,W$9,0),4)</f>
        <v>0.88600000000000001</v>
      </c>
      <c r="X21" s="282">
        <f t="shared" si="2"/>
        <v>0.94349999999999934</v>
      </c>
      <c r="Y21" s="303"/>
      <c r="Z21" s="212"/>
    </row>
    <row r="22" spans="2:26" s="143" customFormat="1">
      <c r="B22" s="144">
        <v>11</v>
      </c>
      <c r="C22" s="145" t="str">
        <f t="shared" si="0"/>
        <v>Völklingen</v>
      </c>
      <c r="D22" s="62" t="s">
        <v>248</v>
      </c>
      <c r="E22" s="165" t="s">
        <v>671</v>
      </c>
      <c r="F22" s="307" t="str">
        <f>VLOOKUP($E22,'BDEW-Standard'!$B$3:$M$94,F$9,0)</f>
        <v>MK3</v>
      </c>
      <c r="H22" s="278">
        <f>ROUND(VLOOKUP($E22,'BDEW-Standard'!$B$3:$M$94,H$9,0),7)</f>
        <v>2.7882424000000001</v>
      </c>
      <c r="I22" s="278">
        <f>ROUND(VLOOKUP($E22,'BDEW-Standard'!$B$3:$M$94,I$9,0),7)</f>
        <v>-34.880612999999997</v>
      </c>
      <c r="J22" s="278">
        <f>ROUND(VLOOKUP($E22,'BDEW-Standard'!$B$3:$M$94,J$9,0),7)</f>
        <v>6.5951899000000003</v>
      </c>
      <c r="K22" s="278">
        <f>ROUND(VLOOKUP($E22,'BDEW-Standard'!$B$3:$M$94,K$9,0),7)</f>
        <v>5.4032900000000002E-2</v>
      </c>
      <c r="L22" s="279">
        <f>ROUND(VLOOKUP($E22,'BDEW-Standard'!$B$3:$M$94,L$9,0),1)</f>
        <v>40</v>
      </c>
      <c r="M22" s="278">
        <f>ROUND(VLOOKUP($E22,'BDEW-Standard'!$B$3:$M$94,M$9,0),7)</f>
        <v>0</v>
      </c>
      <c r="N22" s="278">
        <f>ROUND(VLOOKUP($E22,'BDEW-Standard'!$B$3:$M$94,N$9,0),7)</f>
        <v>0</v>
      </c>
      <c r="O22" s="278">
        <f>ROUND(VLOOKUP($E22,'BDEW-Standard'!$B$3:$M$94,O$9,0),7)</f>
        <v>0</v>
      </c>
      <c r="P22" s="278">
        <f>ROUND(VLOOKUP($E22,'BDEW-Standard'!$B$3:$M$94,P$9,0),7)</f>
        <v>0</v>
      </c>
      <c r="Q22" s="280">
        <f t="shared" si="1"/>
        <v>1.0622306107520199</v>
      </c>
      <c r="R22" s="281">
        <f>ROUND(VLOOKUP(MID($E22,4,3),'Wochentag F(WT)'!$B$7:$J$22,R$9,0),4)</f>
        <v>1.0699000000000001</v>
      </c>
      <c r="S22" s="281">
        <f>ROUND(VLOOKUP(MID($E22,4,3),'Wochentag F(WT)'!$B$7:$J$22,S$9,0),4)</f>
        <v>1.0365</v>
      </c>
      <c r="T22" s="281">
        <f>ROUND(VLOOKUP(MID($E22,4,3),'Wochentag F(WT)'!$B$7:$J$22,T$9,0),4)</f>
        <v>0.99329999999999996</v>
      </c>
      <c r="U22" s="281">
        <f>ROUND(VLOOKUP(MID($E22,4,3),'Wochentag F(WT)'!$B$7:$J$22,U$9,0),4)</f>
        <v>0.99480000000000002</v>
      </c>
      <c r="V22" s="281">
        <f>ROUND(VLOOKUP(MID($E22,4,3),'Wochentag F(WT)'!$B$7:$J$22,V$9,0),4)</f>
        <v>1.0659000000000001</v>
      </c>
      <c r="W22" s="281">
        <f>ROUND(VLOOKUP(MID($E22,4,3),'Wochentag F(WT)'!$B$7:$J$22,W$9,0),4)</f>
        <v>0.93620000000000003</v>
      </c>
      <c r="X22" s="282">
        <f t="shared" si="2"/>
        <v>0.90339999999999954</v>
      </c>
      <c r="Y22" s="303"/>
      <c r="Z22" s="212"/>
    </row>
    <row r="23" spans="2:26" s="143" customFormat="1">
      <c r="B23" s="144">
        <v>12</v>
      </c>
      <c r="C23" s="145" t="str">
        <f t="shared" si="0"/>
        <v>Völklingen</v>
      </c>
      <c r="D23" s="62" t="s">
        <v>248</v>
      </c>
      <c r="E23" s="165" t="s">
        <v>672</v>
      </c>
      <c r="F23" s="307" t="str">
        <f>VLOOKUP($E23,'BDEW-Standard'!$B$3:$M$94,F$9,0)</f>
        <v>WA3</v>
      </c>
      <c r="H23" s="278">
        <f>ROUND(VLOOKUP($E23,'BDEW-Standard'!$B$3:$M$94,H$9,0),7)</f>
        <v>0.76572899999999999</v>
      </c>
      <c r="I23" s="278">
        <f>ROUND(VLOOKUP($E23,'BDEW-Standard'!$B$3:$M$94,I$9,0),7)</f>
        <v>-36.023791199999998</v>
      </c>
      <c r="J23" s="278">
        <f>ROUND(VLOOKUP($E23,'BDEW-Standard'!$B$3:$M$94,J$9,0),7)</f>
        <v>4.8662747</v>
      </c>
      <c r="K23" s="278">
        <f>ROUND(VLOOKUP($E23,'BDEW-Standard'!$B$3:$M$94,K$9,0),7)</f>
        <v>0.80494250000000001</v>
      </c>
      <c r="L23" s="279">
        <f>ROUND(VLOOKUP($E23,'BDEW-Standard'!$B$3:$M$94,L$9,0),1)</f>
        <v>40</v>
      </c>
      <c r="M23" s="278">
        <f>ROUND(VLOOKUP($E23,'BDEW-Standard'!$B$3:$M$94,M$9,0),7)</f>
        <v>0</v>
      </c>
      <c r="N23" s="278">
        <f>ROUND(VLOOKUP($E23,'BDEW-Standard'!$B$3:$M$94,N$9,0),7)</f>
        <v>0</v>
      </c>
      <c r="O23" s="278">
        <f>ROUND(VLOOKUP($E23,'BDEW-Standard'!$B$3:$M$94,O$9,0),7)</f>
        <v>0</v>
      </c>
      <c r="P23" s="278">
        <f>ROUND(VLOOKUP($E23,'BDEW-Standard'!$B$3:$M$94,P$9,0),7)</f>
        <v>0</v>
      </c>
      <c r="Q23" s="280">
        <f t="shared" si="1"/>
        <v>1.0804258319686442</v>
      </c>
      <c r="R23" s="281">
        <f>ROUND(VLOOKUP(MID($E23,4,3),'Wochentag F(WT)'!$B$7:$J$22,R$9,0),4)</f>
        <v>1.2457</v>
      </c>
      <c r="S23" s="281">
        <f>ROUND(VLOOKUP(MID($E23,4,3),'Wochentag F(WT)'!$B$7:$J$22,S$9,0),4)</f>
        <v>1.2615000000000001</v>
      </c>
      <c r="T23" s="281">
        <f>ROUND(VLOOKUP(MID($E23,4,3),'Wochentag F(WT)'!$B$7:$J$22,T$9,0),4)</f>
        <v>1.2706999999999999</v>
      </c>
      <c r="U23" s="281">
        <f>ROUND(VLOOKUP(MID($E23,4,3),'Wochentag F(WT)'!$B$7:$J$22,U$9,0),4)</f>
        <v>1.2430000000000001</v>
      </c>
      <c r="V23" s="281">
        <f>ROUND(VLOOKUP(MID($E23,4,3),'Wochentag F(WT)'!$B$7:$J$22,V$9,0),4)</f>
        <v>1.1275999999999999</v>
      </c>
      <c r="W23" s="281">
        <f>ROUND(VLOOKUP(MID($E23,4,3),'Wochentag F(WT)'!$B$7:$J$22,W$9,0),4)</f>
        <v>0.38769999999999999</v>
      </c>
      <c r="X23" s="282">
        <f t="shared" si="2"/>
        <v>0.46379999999999999</v>
      </c>
      <c r="Y23" s="303"/>
      <c r="Z23" s="212"/>
    </row>
    <row r="24" spans="2:26" s="143" customFormat="1">
      <c r="B24" s="144">
        <v>13</v>
      </c>
      <c r="C24" s="145" t="str">
        <f t="shared" si="0"/>
        <v>Völklingen</v>
      </c>
      <c r="D24" s="62" t="s">
        <v>248</v>
      </c>
      <c r="E24" s="165" t="s">
        <v>673</v>
      </c>
      <c r="F24" s="307" t="str">
        <f>VLOOKUP($E24,'BDEW-Standard'!$B$3:$M$94,F$9,0)</f>
        <v>BH3</v>
      </c>
      <c r="H24" s="278">
        <f>ROUND(VLOOKUP($E24,'BDEW-Standard'!$B$3:$M$94,H$9,0),7)</f>
        <v>2.0102471999999998</v>
      </c>
      <c r="I24" s="278">
        <f>ROUND(VLOOKUP($E24,'BDEW-Standard'!$B$3:$M$94,I$9,0),7)</f>
        <v>-35.253212400000002</v>
      </c>
      <c r="J24" s="278">
        <f>ROUND(VLOOKUP($E24,'BDEW-Standard'!$B$3:$M$94,J$9,0),7)</f>
        <v>6.1544406</v>
      </c>
      <c r="K24" s="278">
        <f>ROUND(VLOOKUP($E24,'BDEW-Standard'!$B$3:$M$94,K$9,0),7)</f>
        <v>0.32947409999999999</v>
      </c>
      <c r="L24" s="279">
        <f>ROUND(VLOOKUP($E24,'BDEW-Standard'!$B$3:$M$94,L$9,0),1)</f>
        <v>40</v>
      </c>
      <c r="M24" s="278">
        <f>ROUND(VLOOKUP($E24,'BDEW-Standard'!$B$3:$M$94,M$9,0),7)</f>
        <v>0</v>
      </c>
      <c r="N24" s="278">
        <f>ROUND(VLOOKUP($E24,'BDEW-Standard'!$B$3:$M$94,N$9,0),7)</f>
        <v>0</v>
      </c>
      <c r="O24" s="278">
        <f>ROUND(VLOOKUP($E24,'BDEW-Standard'!$B$3:$M$94,O$9,0),7)</f>
        <v>0</v>
      </c>
      <c r="P24" s="278">
        <f>ROUND(VLOOKUP($E24,'BDEW-Standard'!$B$3:$M$94,P$9,0),7)</f>
        <v>0</v>
      </c>
      <c r="Q24" s="280">
        <f t="shared" si="1"/>
        <v>1.0436896084076008</v>
      </c>
      <c r="R24" s="281">
        <f>ROUND(VLOOKUP(MID($E24,4,3),'Wochentag F(WT)'!$B$7:$J$22,R$9,0),4)</f>
        <v>0.97670000000000001</v>
      </c>
      <c r="S24" s="281">
        <f>ROUND(VLOOKUP(MID($E24,4,3),'Wochentag F(WT)'!$B$7:$J$22,S$9,0),4)</f>
        <v>1.0388999999999999</v>
      </c>
      <c r="T24" s="281">
        <f>ROUND(VLOOKUP(MID($E24,4,3),'Wochentag F(WT)'!$B$7:$J$22,T$9,0),4)</f>
        <v>1.0027999999999999</v>
      </c>
      <c r="U24" s="281">
        <f>ROUND(VLOOKUP(MID($E24,4,3),'Wochentag F(WT)'!$B$7:$J$22,U$9,0),4)</f>
        <v>1.0162</v>
      </c>
      <c r="V24" s="281">
        <f>ROUND(VLOOKUP(MID($E24,4,3),'Wochentag F(WT)'!$B$7:$J$22,V$9,0),4)</f>
        <v>1.0024</v>
      </c>
      <c r="W24" s="281">
        <f>ROUND(VLOOKUP(MID($E24,4,3),'Wochentag F(WT)'!$B$7:$J$22,W$9,0),4)</f>
        <v>1.0043</v>
      </c>
      <c r="X24" s="282">
        <f t="shared" si="2"/>
        <v>0.95870000000000122</v>
      </c>
      <c r="Y24" s="303"/>
      <c r="Z24" s="212"/>
    </row>
    <row r="25" spans="2:26" s="143" customFormat="1">
      <c r="B25" s="144">
        <v>14</v>
      </c>
      <c r="C25" s="145" t="str">
        <f t="shared" si="0"/>
        <v>Völklingen</v>
      </c>
      <c r="D25" s="62" t="s">
        <v>248</v>
      </c>
      <c r="E25" s="165" t="s">
        <v>674</v>
      </c>
      <c r="F25" s="307" t="str">
        <f>VLOOKUP($E25,'BDEW-Standard'!$B$3:$M$94,F$9,0)</f>
        <v>HD3</v>
      </c>
      <c r="H25" s="278">
        <f>ROUND(VLOOKUP($E25,'BDEW-Standard'!$B$3:$M$94,H$9,0),7)</f>
        <v>2.5792510000000002</v>
      </c>
      <c r="I25" s="278">
        <f>ROUND(VLOOKUP($E25,'BDEW-Standard'!$B$3:$M$94,I$9,0),7)</f>
        <v>-35.681614400000001</v>
      </c>
      <c r="J25" s="278">
        <f>ROUND(VLOOKUP($E25,'BDEW-Standard'!$B$3:$M$94,J$9,0),7)</f>
        <v>6.6857975999999999</v>
      </c>
      <c r="K25" s="278">
        <f>ROUND(VLOOKUP($E25,'BDEW-Standard'!$B$3:$M$94,K$9,0),7)</f>
        <v>0.19955410000000001</v>
      </c>
      <c r="L25" s="279">
        <f>ROUND(VLOOKUP($E25,'BDEW-Standard'!$B$3:$M$94,L$9,0),1)</f>
        <v>40</v>
      </c>
      <c r="M25" s="278">
        <f>ROUND(VLOOKUP($E25,'BDEW-Standard'!$B$3:$M$94,M$9,0),7)</f>
        <v>0</v>
      </c>
      <c r="N25" s="278">
        <f>ROUND(VLOOKUP($E25,'BDEW-Standard'!$B$3:$M$94,N$9,0),7)</f>
        <v>0</v>
      </c>
      <c r="O25" s="278">
        <f>ROUND(VLOOKUP($E25,'BDEW-Standard'!$B$3:$M$94,O$9,0),7)</f>
        <v>0</v>
      </c>
      <c r="P25" s="278">
        <f>ROUND(VLOOKUP($E25,'BDEW-Standard'!$B$3:$M$94,P$9,0),7)</f>
        <v>0</v>
      </c>
      <c r="Q25" s="280">
        <f t="shared" si="1"/>
        <v>1.0393994293439688</v>
      </c>
      <c r="R25" s="281">
        <f>ROUND(VLOOKUP(MID($E25,4,3),'Wochentag F(WT)'!$B$7:$J$22,R$9,0),4)</f>
        <v>1.03</v>
      </c>
      <c r="S25" s="281">
        <f>ROUND(VLOOKUP(MID($E25,4,3),'Wochentag F(WT)'!$B$7:$J$22,S$9,0),4)</f>
        <v>1.03</v>
      </c>
      <c r="T25" s="281">
        <f>ROUND(VLOOKUP(MID($E25,4,3),'Wochentag F(WT)'!$B$7:$J$22,T$9,0),4)</f>
        <v>1.02</v>
      </c>
      <c r="U25" s="281">
        <f>ROUND(VLOOKUP(MID($E25,4,3),'Wochentag F(WT)'!$B$7:$J$22,U$9,0),4)</f>
        <v>1.03</v>
      </c>
      <c r="V25" s="281">
        <f>ROUND(VLOOKUP(MID($E25,4,3),'Wochentag F(WT)'!$B$7:$J$22,V$9,0),4)</f>
        <v>1.01</v>
      </c>
      <c r="W25" s="281">
        <f>ROUND(VLOOKUP(MID($E25,4,3),'Wochentag F(WT)'!$B$7:$J$22,W$9,0),4)</f>
        <v>0.93</v>
      </c>
      <c r="X25" s="282">
        <f t="shared" si="2"/>
        <v>0.95000000000000018</v>
      </c>
      <c r="Y25" s="303"/>
      <c r="Z25" s="212"/>
    </row>
    <row r="26" spans="2:26" s="143" customFormat="1">
      <c r="B26" s="144">
        <v>15</v>
      </c>
      <c r="C26" s="145" t="str">
        <f t="shared" si="0"/>
        <v>Völklingen</v>
      </c>
      <c r="D26" s="62" t="s">
        <v>248</v>
      </c>
      <c r="E26" s="165" t="s">
        <v>675</v>
      </c>
      <c r="F26" s="307" t="str">
        <f>VLOOKUP($E26,'BDEW-Standard'!$B$3:$M$94,F$9,0)</f>
        <v>PD3</v>
      </c>
      <c r="H26" s="278">
        <f>ROUND(VLOOKUP($E26,'BDEW-Standard'!$B$3:$M$94,H$9,0),7)</f>
        <v>3.2</v>
      </c>
      <c r="I26" s="278">
        <f>ROUND(VLOOKUP($E26,'BDEW-Standard'!$B$3:$M$94,I$9,0),7)</f>
        <v>-35.799999999999997</v>
      </c>
      <c r="J26" s="278">
        <f>ROUND(VLOOKUP($E26,'BDEW-Standard'!$B$3:$M$94,J$9,0),7)</f>
        <v>8.4</v>
      </c>
      <c r="K26" s="278">
        <f>ROUND(VLOOKUP($E26,'BDEW-Standard'!$B$3:$M$94,K$9,0),7)</f>
        <v>9.3848600000000004E-2</v>
      </c>
      <c r="L26" s="279">
        <f>ROUND(VLOOKUP($E26,'BDEW-Standard'!$B$3:$M$94,L$9,0),1)</f>
        <v>40</v>
      </c>
      <c r="M26" s="278">
        <f>ROUND(VLOOKUP($E26,'BDEW-Standard'!$B$3:$M$94,M$9,0),7)</f>
        <v>0</v>
      </c>
      <c r="N26" s="278">
        <f>ROUND(VLOOKUP($E26,'BDEW-Standard'!$B$3:$M$94,N$9,0),7)</f>
        <v>0</v>
      </c>
      <c r="O26" s="278">
        <f>ROUND(VLOOKUP($E26,'BDEW-Standard'!$B$3:$M$94,O$9,0),7)</f>
        <v>0</v>
      </c>
      <c r="P26" s="278">
        <f>ROUND(VLOOKUP($E26,'BDEW-Standard'!$B$3:$M$94,P$9,0),7)</f>
        <v>0</v>
      </c>
      <c r="Q26" s="280">
        <f t="shared" si="1"/>
        <v>0.99106250024889242</v>
      </c>
      <c r="R26" s="281">
        <f>ROUND(VLOOKUP(MID($E26,4,3),'Wochentag F(WT)'!$B$7:$J$22,R$9,0),4)</f>
        <v>1.0214000000000001</v>
      </c>
      <c r="S26" s="281">
        <f>ROUND(VLOOKUP(MID($E26,4,3),'Wochentag F(WT)'!$B$7:$J$22,S$9,0),4)</f>
        <v>1.0866</v>
      </c>
      <c r="T26" s="281">
        <f>ROUND(VLOOKUP(MID($E26,4,3),'Wochentag F(WT)'!$B$7:$J$22,T$9,0),4)</f>
        <v>1.0720000000000001</v>
      </c>
      <c r="U26" s="281">
        <f>ROUND(VLOOKUP(MID($E26,4,3),'Wochentag F(WT)'!$B$7:$J$22,U$9,0),4)</f>
        <v>1.0557000000000001</v>
      </c>
      <c r="V26" s="281">
        <f>ROUND(VLOOKUP(MID($E26,4,3),'Wochentag F(WT)'!$B$7:$J$22,V$9,0),4)</f>
        <v>1.0117</v>
      </c>
      <c r="W26" s="281">
        <f>ROUND(VLOOKUP(MID($E26,4,3),'Wochentag F(WT)'!$B$7:$J$22,W$9,0),4)</f>
        <v>0.90010000000000001</v>
      </c>
      <c r="X26" s="282">
        <f t="shared" si="2"/>
        <v>0.85249999999999915</v>
      </c>
      <c r="Y26" s="303"/>
      <c r="Z26" s="212"/>
    </row>
    <row r="27" spans="2:26" s="143" customFormat="1">
      <c r="B27" s="144">
        <v>16</v>
      </c>
      <c r="C27" s="145" t="str">
        <f t="shared" si="0"/>
        <v>Völklingen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Völklingen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Völklingen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Völklingen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Völklingen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Völklingen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Völklingen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Völklingen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Völklingen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Völklingen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Völklingen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Völklingen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Völklingen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Völklingen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Völklingen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H14:Y41 F14:F41">
    <cfRule type="expression" dxfId="23" priority="22">
      <formula>ISERROR(F11)</formula>
    </cfRule>
  </conditionalFormatting>
  <conditionalFormatting sqref="E14:F41 Y14:Y41">
    <cfRule type="duplicateValues" dxfId="22" priority="44"/>
  </conditionalFormatting>
  <conditionalFormatting sqref="H13:X13 F13">
    <cfRule type="expression" dxfId="8" priority="8">
      <formula>ISERROR(F13)</formula>
    </cfRule>
  </conditionalFormatting>
  <conditionalFormatting sqref="E13:F13">
    <cfRule type="duplicateValues" dxfId="7" priority="9"/>
  </conditionalFormatting>
  <conditionalFormatting sqref="H12:X12 F12">
    <cfRule type="expression" dxfId="4" priority="4">
      <formula>ISERROR(F12)</formula>
    </cfRule>
  </conditionalFormatting>
  <conditionalFormatting sqref="E12:F12">
    <cfRule type="duplicateValues" dxfId="3" priority="5"/>
  </conditionalFormatting>
  <conditionalFormatting sqref="Y12:Y13">
    <cfRule type="expression" dxfId="2" priority="2">
      <formula>ISERROR(Y12)</formula>
    </cfRule>
  </conditionalFormatting>
  <conditionalFormatting sqref="Y12:Y13">
    <cfRule type="duplicateValues" dxfId="1" priority="3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15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4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 Y14:Y41</xm:sqref>
        </x14:conditionalFormatting>
        <x14:conditionalFormatting xmlns:xm="http://schemas.microsoft.com/office/excel/2006/main">
          <x14:cfRule type="expression" priority="1" id="{2906051E-2B9A-4DEC-BD22-8C91E5518CCF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Y12:Y13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E11:E13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344</v>
      </c>
      <c r="B1" s="216">
        <v>42173</v>
      </c>
      <c r="D1" s="131" t="s">
        <v>451</v>
      </c>
      <c r="F1" s="217" t="s">
        <v>544</v>
      </c>
      <c r="N1" s="218"/>
    </row>
    <row r="2" spans="1:14" ht="25.5">
      <c r="A2" s="219" t="s">
        <v>268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5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319</v>
      </c>
      <c r="D96" s="235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324</v>
      </c>
      <c r="D97" s="235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329</v>
      </c>
      <c r="D98" s="235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282</v>
      </c>
      <c r="D99" s="235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5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5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5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5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5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5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5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5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5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5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5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5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5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5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5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5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5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5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5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5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5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5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5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5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5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5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5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5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5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5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5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5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5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5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5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5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5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5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5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5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5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5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5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5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5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5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5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5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5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5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5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5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5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5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5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5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5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5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5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F19" sqref="F1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Stadtwerke Völklingen Netz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Völklingen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 t="str">
        <f>Netzbetreiber!$D$11</f>
        <v>9870101100004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4" t="s">
        <v>455</v>
      </c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59" t="s">
        <v>582</v>
      </c>
      <c r="C10" s="360"/>
      <c r="D10" s="94">
        <v>2</v>
      </c>
      <c r="E10" s="95" t="str">
        <f>IF(ISERROR(HLOOKUP(E$11,$M$9:$AD$35,$D10,0)),"",HLOOKUP(E$11,$M$9:$AD$35,$D10,0))</f>
        <v/>
      </c>
      <c r="F10" s="357" t="s">
        <v>395</v>
      </c>
      <c r="G10" s="357"/>
      <c r="H10" s="357"/>
      <c r="I10" s="357"/>
      <c r="J10" s="357"/>
      <c r="K10" s="357"/>
      <c r="L10" s="358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0</v>
      </c>
      <c r="N11" s="72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396</v>
      </c>
      <c r="C12" s="110"/>
      <c r="D12" s="111">
        <v>4</v>
      </c>
      <c r="E12" s="314">
        <f>MIN(SUMPRODUCT($M$11:$AD$11,M12:AD12),1)</f>
        <v>1</v>
      </c>
      <c r="F12" s="311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15">
        <f t="shared" si="0"/>
        <v>0</v>
      </c>
      <c r="F14" s="312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15">
        <f t="shared" si="0"/>
        <v>0</v>
      </c>
      <c r="F15" s="312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15">
        <f t="shared" si="0"/>
        <v>1</v>
      </c>
      <c r="F16" s="312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15">
        <f t="shared" si="0"/>
        <v>1</v>
      </c>
      <c r="F17" s="312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15">
        <f t="shared" si="0"/>
        <v>1</v>
      </c>
      <c r="F18" s="312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650</v>
      </c>
      <c r="C19" s="340"/>
      <c r="D19" s="111"/>
      <c r="E19" s="315">
        <v>1</v>
      </c>
      <c r="F19" s="312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15">
        <f t="shared" si="0"/>
        <v>1</v>
      </c>
      <c r="F20" s="312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648</v>
      </c>
      <c r="C21" s="117"/>
      <c r="D21" s="111">
        <v>12</v>
      </c>
      <c r="E21" s="315">
        <f t="shared" si="0"/>
        <v>1</v>
      </c>
      <c r="F21" s="312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15">
        <f t="shared" si="0"/>
        <v>1</v>
      </c>
      <c r="F22" s="312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15">
        <f t="shared" si="0"/>
        <v>1</v>
      </c>
      <c r="F23" s="312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15">
        <f t="shared" si="0"/>
        <v>1</v>
      </c>
      <c r="F24" s="312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402</v>
      </c>
      <c r="C25" s="117"/>
      <c r="D25" s="111">
        <v>16</v>
      </c>
      <c r="E25" s="315">
        <f t="shared" si="0"/>
        <v>0</v>
      </c>
      <c r="F25" s="312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15">
        <f t="shared" si="0"/>
        <v>1</v>
      </c>
      <c r="F26" s="312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649</v>
      </c>
      <c r="C27" s="340"/>
      <c r="D27" s="111"/>
      <c r="E27" s="315">
        <v>1</v>
      </c>
      <c r="F27" s="312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15">
        <f t="shared" si="0"/>
        <v>1</v>
      </c>
      <c r="F28" s="312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405</v>
      </c>
      <c r="C29" s="340"/>
      <c r="D29" s="341">
        <v>19</v>
      </c>
      <c r="E29" s="342">
        <v>1</v>
      </c>
      <c r="F29" s="312" t="s">
        <v>392</v>
      </c>
      <c r="G29" s="312" t="s">
        <v>392</v>
      </c>
      <c r="H29" s="312" t="s">
        <v>392</v>
      </c>
      <c r="I29" s="312" t="s">
        <v>392</v>
      </c>
      <c r="J29" s="312" t="s">
        <v>392</v>
      </c>
      <c r="K29" s="312" t="s">
        <v>392</v>
      </c>
      <c r="L29" s="312" t="s">
        <v>392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406</v>
      </c>
      <c r="C30" s="117"/>
      <c r="D30" s="111">
        <v>20</v>
      </c>
      <c r="E30" s="315">
        <f t="shared" si="0"/>
        <v>1</v>
      </c>
      <c r="F30" s="312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407</v>
      </c>
      <c r="C31" s="117"/>
      <c r="D31" s="111">
        <v>21</v>
      </c>
      <c r="E31" s="315">
        <f t="shared" si="0"/>
        <v>0</v>
      </c>
      <c r="F31" s="312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15">
        <f t="shared" si="0"/>
        <v>0</v>
      </c>
      <c r="F32" s="312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409</v>
      </c>
      <c r="C33" s="117"/>
      <c r="D33" s="111">
        <v>23</v>
      </c>
      <c r="E33" s="315">
        <f t="shared" si="0"/>
        <v>1</v>
      </c>
      <c r="F33" s="312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15">
        <f t="shared" si="0"/>
        <v>1</v>
      </c>
      <c r="F34" s="312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16">
        <f t="shared" si="0"/>
        <v>0</v>
      </c>
      <c r="F35" s="313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8" priority="9">
      <formula>IF(E$11="NB",1,0)</formula>
    </cfRule>
  </conditionalFormatting>
  <conditionalFormatting sqref="F12:L35">
    <cfRule type="expression" dxfId="17" priority="6">
      <formula>IF($E12=1,1,0)</formula>
    </cfRule>
  </conditionalFormatting>
  <conditionalFormatting sqref="M12:AD35">
    <cfRule type="expression" dxfId="16" priority="3">
      <formula>IF(M$11=1,1)</formula>
    </cfRule>
  </conditionalFormatting>
  <conditionalFormatting sqref="M9:AD10">
    <cfRule type="expression" dxfId="15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452</v>
      </c>
      <c r="B1" s="128"/>
      <c r="D1" s="217" t="s">
        <v>544</v>
      </c>
    </row>
    <row r="2" spans="1:16">
      <c r="A2" s="237"/>
      <c r="B2" s="236" t="s">
        <v>453</v>
      </c>
    </row>
    <row r="3" spans="1:16" ht="20.100000000000001" customHeight="1">
      <c r="A3" s="361" t="s">
        <v>249</v>
      </c>
      <c r="B3" s="238" t="s">
        <v>86</v>
      </c>
      <c r="C3" s="239"/>
      <c r="D3" s="363" t="s">
        <v>454</v>
      </c>
      <c r="E3" s="364"/>
      <c r="F3" s="364"/>
      <c r="G3" s="364"/>
      <c r="H3" s="364"/>
      <c r="I3" s="364"/>
      <c r="J3" s="365"/>
      <c r="K3" s="240"/>
      <c r="L3" s="240"/>
      <c r="M3" s="240"/>
      <c r="N3" s="240"/>
      <c r="O3" s="241"/>
      <c r="P3" s="240"/>
    </row>
    <row r="4" spans="1:16" ht="20.100000000000001" customHeight="1">
      <c r="A4" s="362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251</v>
      </c>
      <c r="P5" s="248" t="s">
        <v>250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365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365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254</v>
      </c>
      <c r="O11" s="250" t="s">
        <v>252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254</v>
      </c>
      <c r="O12" s="250" t="s">
        <v>252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254</v>
      </c>
      <c r="O13" s="250" t="s">
        <v>252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254</v>
      </c>
      <c r="O14" s="250" t="s">
        <v>252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254</v>
      </c>
      <c r="O15" s="250" t="s">
        <v>252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254</v>
      </c>
      <c r="O16" s="250" t="s">
        <v>252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254</v>
      </c>
      <c r="O17" s="250" t="s">
        <v>253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254</v>
      </c>
      <c r="O18" s="250" t="s">
        <v>253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254</v>
      </c>
      <c r="O19" s="250" t="s">
        <v>253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254</v>
      </c>
      <c r="O20" s="250" t="s">
        <v>253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254</v>
      </c>
      <c r="O21" s="250" t="s">
        <v>253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254</v>
      </c>
      <c r="O22" s="250" t="s">
        <v>253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4" priority="2" stopIfTrue="1" operator="equal">
      <formula>$M7</formula>
    </cfRule>
  </conditionalFormatting>
  <conditionalFormatting sqref="D9:J9">
    <cfRule type="cellIs" dxfId="13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Schulze Martin</cp:lastModifiedBy>
  <cp:lastPrinted>2015-03-20T22:59:10Z</cp:lastPrinted>
  <dcterms:created xsi:type="dcterms:W3CDTF">2015-01-15T05:25:41Z</dcterms:created>
  <dcterms:modified xsi:type="dcterms:W3CDTF">2021-08-17T13:36:58Z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